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10" windowWidth="12120" windowHeight="8520" tabRatio="800" activeTab="4"/>
  </bookViews>
  <sheets>
    <sheet name="فهرست " sheetId="26" r:id="rId1"/>
    <sheet name="جدول 1 " sheetId="27" r:id="rId2"/>
    <sheet name="جدول  2 " sheetId="28" r:id="rId3"/>
    <sheet name="جدول 3" sheetId="8" r:id="rId4"/>
    <sheet name="4" sheetId="30" r:id="rId5"/>
    <sheet name="5" sheetId="21" r:id="rId6"/>
    <sheet name="6" sheetId="22" r:id="rId7"/>
    <sheet name="7" sheetId="23" r:id="rId8"/>
    <sheet name="8" sheetId="24" r:id="rId9"/>
    <sheet name="9" sheetId="31" r:id="rId10"/>
    <sheet name="10" sheetId="4" r:id="rId11"/>
    <sheet name="11" sheetId="9" r:id="rId12"/>
    <sheet name="12" sheetId="10" r:id="rId13"/>
    <sheet name="13" sheetId="5" r:id="rId14"/>
    <sheet name="14" sheetId="11" r:id="rId15"/>
    <sheet name="15" sheetId="18" r:id="rId16"/>
    <sheet name="16" sheetId="19" r:id="rId17"/>
  </sheets>
  <definedNames>
    <definedName name="OLE_LINK2" localSheetId="9">'9'!$C$25</definedName>
    <definedName name="_xlnm.Print_Area" localSheetId="10">'10'!$A$1:$I$24</definedName>
    <definedName name="_xlnm.Print_Area" localSheetId="11">'11'!$A$1:$I$24</definedName>
    <definedName name="_xlnm.Print_Area" localSheetId="12">'12'!$A$1:$I$22</definedName>
    <definedName name="_xlnm.Print_Area" localSheetId="13">'13'!$A$1:$I$22</definedName>
    <definedName name="_xlnm.Print_Area" localSheetId="14">'14'!$A$1:$I$22</definedName>
    <definedName name="_xlnm.Print_Area" localSheetId="15">'15'!$A$1:$I$22</definedName>
    <definedName name="_xlnm.Print_Area" localSheetId="16">'16'!$A$1:$I$22</definedName>
    <definedName name="_xlnm.Print_Area" localSheetId="4">'4'!$A$1:$J$28</definedName>
    <definedName name="_xlnm.Print_Area" localSheetId="5">'5'!$A$1:$I$26</definedName>
    <definedName name="_xlnm.Print_Area" localSheetId="6">'6'!$A$1:$K$27</definedName>
    <definedName name="_xlnm.Print_Area" localSheetId="7">'7'!$A$1:$K$25</definedName>
    <definedName name="_xlnm.Print_Area" localSheetId="8">'8'!$A$1:$K$25</definedName>
    <definedName name="_xlnm.Print_Area" localSheetId="9">'9'!$A$1:$J$25</definedName>
    <definedName name="_xlnm.Print_Area" localSheetId="2">'جدول  2 '!$A$1:$G$11</definedName>
    <definedName name="_xlnm.Print_Area" localSheetId="1">'جدول 1 '!$A$2:$G$13</definedName>
    <definedName name="_xlnm.Print_Area" localSheetId="3">'جدول 3'!$A$1:$D$39</definedName>
    <definedName name="_xlnm.Print_Area" localSheetId="0">'فهرست '!$A$1:$B$27</definedName>
    <definedName name="_xlnm.Print_Titles" localSheetId="0">'فهرست '!$1:$2</definedName>
  </definedNames>
  <calcPr calcId="124519"/>
  <fileRecoveryPr autoRecover="0"/>
</workbook>
</file>

<file path=xl/calcChain.xml><?xml version="1.0" encoding="utf-8"?>
<calcChain xmlns="http://schemas.openxmlformats.org/spreadsheetml/2006/main">
  <c r="F16" i="31"/>
  <c r="F12"/>
  <c r="F30"/>
  <c r="F29"/>
  <c r="F28"/>
  <c r="E12"/>
  <c r="J6" i="28"/>
  <c r="I9"/>
  <c r="H8"/>
  <c r="H7" s="1"/>
  <c r="J7" s="1"/>
  <c r="E20" i="27"/>
  <c r="E19"/>
  <c r="C22"/>
  <c r="J8" i="28" l="1"/>
  <c r="F28" i="11"/>
  <c r="E28"/>
  <c r="F27"/>
  <c r="E27"/>
  <c r="H6" i="31"/>
  <c r="H12"/>
  <c r="H16"/>
  <c r="H21"/>
  <c r="H18"/>
  <c r="F18"/>
  <c r="G16"/>
  <c r="G6"/>
  <c r="G12"/>
  <c r="G18"/>
  <c r="G21"/>
  <c r="G22" l="1"/>
  <c r="G24" l="1"/>
  <c r="E13" i="28" l="1"/>
  <c r="G13" i="30" l="1"/>
  <c r="E13" i="21" l="1"/>
  <c r="F10" i="27" l="1"/>
  <c r="F11"/>
  <c r="F7"/>
  <c r="F8"/>
  <c r="F12"/>
  <c r="E20" i="11"/>
  <c r="F20"/>
  <c r="E5" i="22" l="1"/>
  <c r="F5"/>
  <c r="F14"/>
  <c r="F13" s="1"/>
  <c r="F9" i="27" l="1"/>
  <c r="F22" i="31"/>
  <c r="F7" i="30"/>
  <c r="H17" i="24" l="1"/>
  <c r="H16"/>
  <c r="F17"/>
  <c r="F16"/>
  <c r="E17"/>
  <c r="E16"/>
  <c r="H17" i="22"/>
  <c r="F17"/>
  <c r="E17"/>
  <c r="H16"/>
  <c r="F16"/>
  <c r="E16"/>
  <c r="F17" i="21"/>
  <c r="F16"/>
  <c r="E16"/>
  <c r="E17" i="30"/>
  <c r="E16"/>
  <c r="F5" i="24"/>
  <c r="E5"/>
  <c r="F5" i="21"/>
  <c r="E5" i="30" l="1"/>
  <c r="G5" i="5" l="1"/>
  <c r="G5" i="4"/>
  <c r="H13" i="24" l="1"/>
  <c r="F13"/>
  <c r="E13"/>
  <c r="E14" i="22"/>
  <c r="E13" s="1"/>
  <c r="H14"/>
  <c r="H13" s="1"/>
  <c r="F13" i="21"/>
  <c r="E14" i="30"/>
  <c r="F6" i="27"/>
  <c r="F17" i="18"/>
  <c r="F17" i="11"/>
  <c r="H7" i="22"/>
  <c r="G7" i="30"/>
  <c r="G24"/>
  <c r="E6" i="31"/>
  <c r="F6"/>
  <c r="E18"/>
  <c r="F21"/>
  <c r="F23" s="1"/>
  <c r="E21"/>
  <c r="E16"/>
  <c r="F20" i="10"/>
  <c r="H24" i="30"/>
  <c r="E13" l="1"/>
  <c r="H24" i="22"/>
  <c r="G26" i="30"/>
  <c r="E22" i="31"/>
  <c r="E24" l="1"/>
  <c r="F24" i="30"/>
  <c r="H22" i="31"/>
  <c r="H7" i="30"/>
  <c r="F24" i="23"/>
  <c r="E24"/>
  <c r="G14" i="22"/>
  <c r="I14" s="1"/>
  <c r="F20" i="5"/>
  <c r="E20"/>
  <c r="G13"/>
  <c r="G13" i="4" l="1"/>
  <c r="G13" i="18"/>
  <c r="G13" i="19"/>
  <c r="G13" i="11"/>
  <c r="F20" i="4"/>
  <c r="E20"/>
  <c r="G13" i="22" l="1"/>
  <c r="I13" s="1"/>
  <c r="F22" i="4" l="1"/>
  <c r="G11" i="24"/>
  <c r="G15"/>
  <c r="G17"/>
  <c r="G19"/>
  <c r="G15" i="23"/>
  <c r="H7"/>
  <c r="F7"/>
  <c r="E7"/>
  <c r="F7" i="22"/>
  <c r="E7"/>
  <c r="G21" i="21"/>
  <c r="G20"/>
  <c r="G19"/>
  <c r="G10"/>
  <c r="G9"/>
  <c r="F7"/>
  <c r="E7"/>
  <c r="G5" i="19"/>
  <c r="G8"/>
  <c r="G15"/>
  <c r="G16"/>
  <c r="G19"/>
  <c r="G17" s="1"/>
  <c r="F17"/>
  <c r="F14"/>
  <c r="E14"/>
  <c r="G8" i="18"/>
  <c r="G6" s="1"/>
  <c r="G9"/>
  <c r="G16"/>
  <c r="G15"/>
  <c r="G19"/>
  <c r="F14"/>
  <c r="F6"/>
  <c r="E6"/>
  <c r="E14"/>
  <c r="G14" s="1"/>
  <c r="G7" i="11"/>
  <c r="G12"/>
  <c r="G15"/>
  <c r="G18"/>
  <c r="G17" s="1"/>
  <c r="F6"/>
  <c r="E6"/>
  <c r="G9" i="5"/>
  <c r="G8"/>
  <c r="G15"/>
  <c r="G18"/>
  <c r="G17" s="1"/>
  <c r="F17"/>
  <c r="F14"/>
  <c r="F6"/>
  <c r="E6"/>
  <c r="E14"/>
  <c r="E17"/>
  <c r="G5" i="10"/>
  <c r="G9"/>
  <c r="G13"/>
  <c r="G15"/>
  <c r="G18"/>
  <c r="G19"/>
  <c r="F17"/>
  <c r="F14"/>
  <c r="F6"/>
  <c r="E6"/>
  <c r="E17"/>
  <c r="F17" i="9"/>
  <c r="F14"/>
  <c r="E6"/>
  <c r="E14"/>
  <c r="E17"/>
  <c r="E6" i="4"/>
  <c r="E14"/>
  <c r="E17"/>
  <c r="F17"/>
  <c r="F14"/>
  <c r="F6"/>
  <c r="E17" i="19"/>
  <c r="E17" i="18"/>
  <c r="E7" i="30"/>
  <c r="F6" i="19"/>
  <c r="E6"/>
  <c r="F6" i="9"/>
  <c r="H7" i="24"/>
  <c r="F7"/>
  <c r="E7"/>
  <c r="G16"/>
  <c r="I16" s="1"/>
  <c r="E24" i="22"/>
  <c r="G15"/>
  <c r="G14" i="21"/>
  <c r="G13" i="24"/>
  <c r="G7" l="1"/>
  <c r="I7" s="1"/>
  <c r="G14" i="19"/>
  <c r="G14" i="5"/>
  <c r="G17" i="9"/>
  <c r="G17" i="4"/>
  <c r="G7" i="23"/>
  <c r="I7" s="1"/>
  <c r="G7" i="22"/>
  <c r="I7" s="1"/>
  <c r="G17" i="10"/>
  <c r="G17" i="18"/>
  <c r="F24" i="22"/>
  <c r="G16"/>
  <c r="G5" i="11"/>
  <c r="G5" i="23"/>
  <c r="G11" i="21"/>
  <c r="G6"/>
  <c r="G24" i="22" l="1"/>
  <c r="E24" i="24"/>
  <c r="H24" i="23"/>
  <c r="F24" i="24"/>
  <c r="G6"/>
  <c r="G10" i="23"/>
  <c r="G26" i="22" l="1"/>
  <c r="G5" i="24"/>
  <c r="I5" s="1"/>
  <c r="I15" i="22" l="1"/>
  <c r="G17"/>
  <c r="I17" s="1"/>
  <c r="G10"/>
  <c r="I10" s="1"/>
  <c r="G9"/>
  <c r="I9" s="1"/>
  <c r="G6"/>
  <c r="I6" s="1"/>
  <c r="G14" i="9" l="1"/>
  <c r="E14" i="10"/>
  <c r="F14" i="11"/>
  <c r="E14"/>
  <c r="E17"/>
  <c r="G14" l="1"/>
  <c r="G11" i="10"/>
  <c r="G18" i="9" l="1"/>
  <c r="G10"/>
  <c r="G7"/>
  <c r="G12" i="4"/>
  <c r="G10"/>
  <c r="G9"/>
  <c r="G7"/>
  <c r="G8"/>
  <c r="G6" l="1"/>
  <c r="F20" i="18"/>
  <c r="E20"/>
  <c r="G5" i="21" l="1"/>
  <c r="G14" i="24" l="1"/>
  <c r="I14" s="1"/>
  <c r="G14" i="23"/>
  <c r="F26" i="22"/>
  <c r="I13" i="24" l="1"/>
  <c r="E24" i="30"/>
  <c r="E26" l="1"/>
  <c r="I6" i="24"/>
  <c r="G12" i="9" l="1"/>
  <c r="G5" i="18"/>
  <c r="G12"/>
  <c r="G12" i="5"/>
  <c r="G12" i="10"/>
  <c r="F24" i="21"/>
  <c r="E24"/>
  <c r="G15"/>
  <c r="H26" i="22" l="1"/>
  <c r="B8" i="8"/>
  <c r="C8" l="1"/>
  <c r="G9" i="23"/>
  <c r="I9" s="1"/>
  <c r="G8"/>
  <c r="I8" s="1"/>
  <c r="G12" i="21" l="1"/>
  <c r="G13"/>
  <c r="G16"/>
  <c r="G17"/>
  <c r="D11" i="28"/>
  <c r="G22" i="22" l="1"/>
  <c r="G22" i="24"/>
  <c r="G5" i="22"/>
  <c r="E20" i="19"/>
  <c r="E20" i="9"/>
  <c r="G16"/>
  <c r="H24" i="24" l="1"/>
  <c r="I5" i="23"/>
  <c r="I5" i="22"/>
  <c r="G16" i="10"/>
  <c r="G14" s="1"/>
  <c r="G7"/>
  <c r="E11" i="28" l="1"/>
  <c r="G8" i="21" l="1"/>
  <c r="G18"/>
  <c r="G13" i="23"/>
  <c r="I14"/>
  <c r="G7" i="21" l="1"/>
  <c r="I13" i="23"/>
  <c r="G18" i="22"/>
  <c r="I18" s="1"/>
  <c r="G12" i="19"/>
  <c r="G11" i="18"/>
  <c r="G10"/>
  <c r="G11" i="11"/>
  <c r="G10"/>
  <c r="G9"/>
  <c r="G8"/>
  <c r="G6" s="1"/>
  <c r="G11" i="5"/>
  <c r="G10"/>
  <c r="G7"/>
  <c r="E20" i="10"/>
  <c r="G10"/>
  <c r="G8"/>
  <c r="G6" s="1"/>
  <c r="F20" i="9"/>
  <c r="F22" s="1"/>
  <c r="E22"/>
  <c r="E22" i="4"/>
  <c r="G19" i="9"/>
  <c r="G15"/>
  <c r="G13"/>
  <c r="G11"/>
  <c r="G9"/>
  <c r="G8"/>
  <c r="G6" s="1"/>
  <c r="G5"/>
  <c r="G19" i="4"/>
  <c r="G18"/>
  <c r="G16"/>
  <c r="G15"/>
  <c r="G11"/>
  <c r="G14" l="1"/>
  <c r="G6" i="5"/>
  <c r="G20"/>
  <c r="G20" i="18"/>
  <c r="G20" i="4"/>
  <c r="G22" s="1"/>
  <c r="G20" i="10"/>
  <c r="G20" i="9"/>
  <c r="G22" s="1"/>
  <c r="F11" i="28"/>
  <c r="F10"/>
  <c r="F9"/>
  <c r="F8"/>
  <c r="F7"/>
  <c r="F6"/>
  <c r="E26" i="22"/>
  <c r="G8"/>
  <c r="I8" s="1"/>
  <c r="G20" i="11"/>
  <c r="G21" i="22" l="1"/>
  <c r="I21" s="1"/>
  <c r="G20"/>
  <c r="I20" s="1"/>
  <c r="G21" i="23"/>
  <c r="I21" s="1"/>
  <c r="G20"/>
  <c r="I20" s="1"/>
  <c r="G19"/>
  <c r="G18"/>
  <c r="I18" s="1"/>
  <c r="I19" l="1"/>
  <c r="G19" i="22"/>
  <c r="F20" i="19"/>
  <c r="I16" i="22"/>
  <c r="G16" i="23"/>
  <c r="I16" s="1"/>
  <c r="I19" i="22" l="1"/>
  <c r="G12" l="1"/>
  <c r="I12" s="1"/>
  <c r="G11"/>
  <c r="I11" s="1"/>
  <c r="I24" l="1"/>
  <c r="I26" s="1"/>
  <c r="I17" i="24"/>
  <c r="I15"/>
  <c r="G12"/>
  <c r="I12" s="1"/>
  <c r="G12" i="23"/>
  <c r="I12" s="1"/>
  <c r="G11"/>
  <c r="I11" l="1"/>
  <c r="G24"/>
  <c r="G21" i="24"/>
  <c r="G20"/>
  <c r="I20" s="1"/>
  <c r="I19"/>
  <c r="G22" i="21"/>
  <c r="G24" s="1"/>
  <c r="I11" i="24"/>
  <c r="G10" i="19"/>
  <c r="G9" i="24"/>
  <c r="G6" i="19"/>
  <c r="G11"/>
  <c r="G10" i="24"/>
  <c r="I10" s="1"/>
  <c r="I10" i="23"/>
  <c r="G9" i="19"/>
  <c r="I15" i="23"/>
  <c r="I24" l="1"/>
  <c r="I9" i="24"/>
  <c r="G24"/>
  <c r="I21"/>
  <c r="G20" i="19"/>
  <c r="I24" i="24" l="1"/>
</calcChain>
</file>

<file path=xl/comments1.xml><?xml version="1.0" encoding="utf-8"?>
<comments xmlns="http://schemas.openxmlformats.org/spreadsheetml/2006/main">
  <authors>
    <author>Haidar Khaled</author>
  </authors>
  <commentList>
    <comment ref="F14" authorId="0">
      <text>
        <r>
          <rPr>
            <b/>
            <sz val="8"/>
            <color indexed="81"/>
            <rFont val="Tahoma"/>
          </rPr>
          <t>Haidar Khaled: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shahad adel</author>
  </authors>
  <commentList>
    <comment ref="G13" authorId="0">
      <text>
        <r>
          <rPr>
            <b/>
            <sz val="9"/>
            <color indexed="81"/>
            <rFont val="Tahoma"/>
            <family val="2"/>
          </rPr>
          <t xml:space="preserve">تم حساب المخفض بالاسعار الثابتة للتجارة والفنادق لل9 انشطة ثم قسمة الجاري ز على المخفض 
</t>
        </r>
      </text>
    </comment>
    <comment ref="G14" authorId="0">
      <text>
        <r>
          <rPr>
            <b/>
            <sz val="9"/>
            <color indexed="81"/>
            <rFont val="Tahoma"/>
            <family val="2"/>
          </rPr>
          <t xml:space="preserve">طرح التجارة بالتسع انشطة من ز بالثابت 
</t>
        </r>
      </text>
    </comment>
    <comment ref="E17" authorId="0">
      <text>
        <r>
          <rPr>
            <b/>
            <sz val="9"/>
            <color indexed="81"/>
            <rFont val="Tahoma"/>
            <charset val="178"/>
          </rPr>
          <t>القيمه المضافه لقطاع ادارة الاعمال + ملكية دور سكن</t>
        </r>
      </text>
    </comment>
    <comment ref="G17" authorId="0">
      <text>
        <r>
          <rPr>
            <b/>
            <sz val="9"/>
            <color indexed="81"/>
            <rFont val="Tahoma"/>
            <charset val="178"/>
          </rPr>
          <t xml:space="preserve">تم جمع البنوك مع ملكية دور السكن جدول 9 =10549692.3
 </t>
        </r>
      </text>
    </comment>
    <comment ref="D29" authorId="0">
      <text>
        <r>
          <rPr>
            <b/>
            <sz val="9"/>
            <color indexed="81"/>
            <rFont val="Tahoma"/>
            <family val="2"/>
          </rPr>
          <t xml:space="preserve">الجاري ماعدا النفط والبنوك/ الثابت ماعدا النفط والبنوك *100
</t>
        </r>
      </text>
    </comment>
  </commentList>
</comments>
</file>

<file path=xl/comments3.xml><?xml version="1.0" encoding="utf-8"?>
<comments xmlns="http://schemas.openxmlformats.org/spreadsheetml/2006/main">
  <authors>
    <author>shahad adel</author>
  </authors>
  <commentList>
    <comment ref="E14" authorId="0">
      <text>
        <r>
          <rPr>
            <b/>
            <sz val="9"/>
            <color indexed="81"/>
            <rFont val="Tahoma"/>
            <charset val="178"/>
          </rPr>
          <t xml:space="preserve">الفنادق عام + مج فنادق+مطاعم (خاص)
</t>
        </r>
      </text>
    </comment>
    <comment ref="E16" authorId="0">
      <text>
        <r>
          <rPr>
            <b/>
            <sz val="9"/>
            <color indexed="81"/>
            <rFont val="Tahoma"/>
            <charset val="178"/>
          </rPr>
          <t xml:space="preserve">مج القطاع العام والخاص - قطاع الاعمال
</t>
        </r>
      </text>
    </comment>
    <comment ref="E17" authorId="0">
      <text>
        <r>
          <rPr>
            <b/>
            <sz val="9"/>
            <color indexed="81"/>
            <rFont val="Tahoma"/>
            <charset val="178"/>
          </rPr>
          <t xml:space="preserve">مجموع قطاع ادارة الاعمال+ ملكية دور سكن
</t>
        </r>
      </text>
    </comment>
  </commentList>
</comments>
</file>

<file path=xl/comments4.xml><?xml version="1.0" encoding="utf-8"?>
<comments xmlns="http://schemas.openxmlformats.org/spreadsheetml/2006/main">
  <authors>
    <author>shahad adel</author>
  </authors>
  <commentList>
    <comment ref="E16" authorId="0">
      <text>
        <r>
          <rPr>
            <sz val="9"/>
            <color indexed="81"/>
            <rFont val="Tahoma"/>
            <charset val="178"/>
          </rPr>
          <t xml:space="preserve">المجموع الكلي خاص - الخدمات المقدمة لقطاع الاعمال = وساطة مالية قطاع خاص
</t>
        </r>
      </text>
    </comment>
  </commentList>
</comments>
</file>

<file path=xl/sharedStrings.xml><?xml version="1.0" encoding="utf-8"?>
<sst xmlns="http://schemas.openxmlformats.org/spreadsheetml/2006/main" count="1147" uniqueCount="278">
  <si>
    <t>Electricity and Water</t>
  </si>
  <si>
    <t>5</t>
  </si>
  <si>
    <t>البناء والتشييد</t>
  </si>
  <si>
    <t>Building and construction</t>
  </si>
  <si>
    <t>6</t>
  </si>
  <si>
    <t>النقل والمواصلات والخزن</t>
  </si>
  <si>
    <t xml:space="preserve">Transport ,Communications and storage        </t>
  </si>
  <si>
    <t>7</t>
  </si>
  <si>
    <t>تجارة الجملة والمفرد والفنادق وما شابه</t>
  </si>
  <si>
    <t>Wholesale, retail trade, hotels &amp; others</t>
  </si>
  <si>
    <t>8</t>
  </si>
  <si>
    <t>المال والتأمين وخدمات العقارات</t>
  </si>
  <si>
    <t>Finance, Insurance, Real estate and Business services</t>
  </si>
  <si>
    <t>8-1</t>
  </si>
  <si>
    <t>البنوك والتأمين</t>
  </si>
  <si>
    <t>Banks and insurance</t>
  </si>
  <si>
    <t>8-2</t>
  </si>
  <si>
    <t xml:space="preserve">ملكية دور السكن </t>
  </si>
  <si>
    <t>Owenrship of dwellings</t>
  </si>
  <si>
    <t>9</t>
  </si>
  <si>
    <t>خدمات التنمية الاجتماعية والشخصية</t>
  </si>
  <si>
    <t>Social and personal services</t>
  </si>
  <si>
    <t>9-1</t>
  </si>
  <si>
    <t>9-2</t>
  </si>
  <si>
    <t>الخدمات الشخصية</t>
  </si>
  <si>
    <t>Personal services</t>
  </si>
  <si>
    <t>المجموع حسب الأنشطة</t>
  </si>
  <si>
    <t>Total by activities</t>
  </si>
  <si>
    <t>ناقصا: رسم الخدمة المحتسب</t>
  </si>
  <si>
    <t xml:space="preserve">الناتج المحلي الإجمالي   </t>
  </si>
  <si>
    <t>GDP</t>
  </si>
  <si>
    <t>المؤشرات</t>
  </si>
  <si>
    <t>Indicators</t>
  </si>
  <si>
    <t>تعويضات المشتغلين</t>
  </si>
  <si>
    <t>Compensation of employees</t>
  </si>
  <si>
    <t xml:space="preserve">فائض العمليات </t>
  </si>
  <si>
    <t>Operating surplus</t>
  </si>
  <si>
    <t>تخصيصات استهلاك راس المال الثابت</t>
  </si>
  <si>
    <t xml:space="preserve">Consumption of fixed capital </t>
  </si>
  <si>
    <t>الضرائب غير المباشرة</t>
  </si>
  <si>
    <t>Indirect taxes</t>
  </si>
  <si>
    <t xml:space="preserve">ناقصا:الأعانات </t>
  </si>
  <si>
    <t>(-)Subsidies</t>
  </si>
  <si>
    <t xml:space="preserve">الناتج المحلي الأجمالي بسعر السوق </t>
  </si>
  <si>
    <t xml:space="preserve">Gross Domstic Product at market prices </t>
  </si>
  <si>
    <t>رمز التصنيف الدولي</t>
  </si>
  <si>
    <t>الأنشطة الاقتصادية</t>
  </si>
  <si>
    <t>Economic Activities</t>
  </si>
  <si>
    <t>ISIC code</t>
  </si>
  <si>
    <t>الزراعة والغابات والصيد</t>
  </si>
  <si>
    <t xml:space="preserve">Agriculture, Forestry, Hunting &amp; Fishing  </t>
  </si>
  <si>
    <t>التعدين والمقالع</t>
  </si>
  <si>
    <t>Mining and Quarrying</t>
  </si>
  <si>
    <t>2-1</t>
  </si>
  <si>
    <t>النفط الخام</t>
  </si>
  <si>
    <t>Crude oil</t>
  </si>
  <si>
    <t>2-2</t>
  </si>
  <si>
    <t>الانواع الأخرى من التعدين</t>
  </si>
  <si>
    <t xml:space="preserve"> Other types of mining</t>
  </si>
  <si>
    <t>3</t>
  </si>
  <si>
    <t>الصناعة التحويلية</t>
  </si>
  <si>
    <t>Manufacturing Industry</t>
  </si>
  <si>
    <t>4</t>
  </si>
  <si>
    <t>الكهرباء والماء</t>
  </si>
  <si>
    <t>Value of output</t>
  </si>
  <si>
    <t>Value of input</t>
  </si>
  <si>
    <t>Gross value added</t>
  </si>
  <si>
    <t>قيمة الإنتاج</t>
  </si>
  <si>
    <t>قيمة المستلزمات</t>
  </si>
  <si>
    <t xml:space="preserve">القيمة المضافة الاجمالية </t>
  </si>
  <si>
    <t>فائض العمليات</t>
  </si>
  <si>
    <t xml:space="preserve"> Crude oil</t>
  </si>
  <si>
    <t xml:space="preserve"> Personal services</t>
  </si>
  <si>
    <t>رسم الخدمة المحتسب</t>
  </si>
  <si>
    <t>Imputed bank service charge</t>
  </si>
  <si>
    <t xml:space="preserve">المجموع  </t>
  </si>
  <si>
    <t xml:space="preserve">Total  </t>
  </si>
  <si>
    <t>الانشطة السلعية</t>
  </si>
  <si>
    <t>الانشطة التوزيعية</t>
  </si>
  <si>
    <t>الانشطة الخدمية</t>
  </si>
  <si>
    <t>المجموع</t>
  </si>
  <si>
    <t>Commodity activities</t>
  </si>
  <si>
    <t>Distribution activities</t>
  </si>
  <si>
    <t>Services activities</t>
  </si>
  <si>
    <t>Total</t>
  </si>
  <si>
    <t>بالاسعار الجارية</t>
  </si>
  <si>
    <t>Public</t>
  </si>
  <si>
    <t>العام</t>
  </si>
  <si>
    <t>الخاص</t>
  </si>
  <si>
    <t>شكل رقم (3): مساهمة القطاعات (العام، التعاوني ، الخاص) في الناتج المحلي الاجمالي بالاسعار الجارية لسنة 2005</t>
  </si>
  <si>
    <t>Figure (3): Gross Domestic Product By the Sectors ( Public, Co-operation, Privite) at current Prices for the year 2005</t>
  </si>
  <si>
    <t>General Government</t>
  </si>
  <si>
    <t>الحكومة العامة</t>
  </si>
  <si>
    <t>الاهمية النسبية (%)</t>
  </si>
  <si>
    <t>RELATIVE SHARE (%)</t>
  </si>
  <si>
    <t>ناقصاً: رسم الخدمة المحتسب</t>
  </si>
  <si>
    <t>Relative Share (%)</t>
  </si>
  <si>
    <t>At Current Prices</t>
  </si>
  <si>
    <t>ـــ</t>
  </si>
  <si>
    <t>مجموع الانشطة السلعية</t>
  </si>
  <si>
    <t>مجموع الانشطة التوزيعية</t>
  </si>
  <si>
    <t>مجموع الانشطة الخدمية</t>
  </si>
  <si>
    <t xml:space="preserve"> ECONOMIC ACTIVITIES</t>
  </si>
  <si>
    <t>ISIC Code</t>
  </si>
  <si>
    <t>ا</t>
  </si>
  <si>
    <t xml:space="preserve">Agriculture,Hunting&amp;Forestry </t>
  </si>
  <si>
    <t>A</t>
  </si>
  <si>
    <t>ب</t>
  </si>
  <si>
    <t xml:space="preserve">صيد الأسماك </t>
  </si>
  <si>
    <t>Fishing</t>
  </si>
  <si>
    <t>B</t>
  </si>
  <si>
    <t>ج</t>
  </si>
  <si>
    <t>C</t>
  </si>
  <si>
    <t xml:space="preserve">النفط الخام </t>
  </si>
  <si>
    <t>Crude Oil</t>
  </si>
  <si>
    <t>أنواع اخرى من التعدين</t>
  </si>
  <si>
    <t>Other types of mining</t>
  </si>
  <si>
    <t>د</t>
  </si>
  <si>
    <t>D</t>
  </si>
  <si>
    <t>هـ</t>
  </si>
  <si>
    <t>تجهيز الكهرباء وتجهيز المياه</t>
  </si>
  <si>
    <t>Electricity and Water supply</t>
  </si>
  <si>
    <t>E</t>
  </si>
  <si>
    <t>و</t>
  </si>
  <si>
    <t>Building and Construction</t>
  </si>
  <si>
    <t>F</t>
  </si>
  <si>
    <t>ز</t>
  </si>
  <si>
    <t>Wholesale &amp; Retail Trade, repair of motor vehicles,motorcycles and personal and household goods</t>
  </si>
  <si>
    <t>G</t>
  </si>
  <si>
    <t xml:space="preserve">ح </t>
  </si>
  <si>
    <t xml:space="preserve">الفنادق والمطاعم </t>
  </si>
  <si>
    <t xml:space="preserve">Hotels and Restaurants </t>
  </si>
  <si>
    <t>H</t>
  </si>
  <si>
    <t>ط</t>
  </si>
  <si>
    <t xml:space="preserve">النقل والتخزين والأتصالات </t>
  </si>
  <si>
    <t xml:space="preserve">Transport,Storage and Communications </t>
  </si>
  <si>
    <t>I</t>
  </si>
  <si>
    <t>ي</t>
  </si>
  <si>
    <t>Financial intermediation</t>
  </si>
  <si>
    <t>J</t>
  </si>
  <si>
    <t>ك</t>
  </si>
  <si>
    <t>Real estate,renting and business activities</t>
  </si>
  <si>
    <t>K</t>
  </si>
  <si>
    <t>ل</t>
  </si>
  <si>
    <t>Public administration and defence;compulsory social security</t>
  </si>
  <si>
    <t>L</t>
  </si>
  <si>
    <t>م</t>
  </si>
  <si>
    <t>التعليم</t>
  </si>
  <si>
    <t>Education</t>
  </si>
  <si>
    <t>M</t>
  </si>
  <si>
    <t>ن</t>
  </si>
  <si>
    <t>Health and social Work</t>
  </si>
  <si>
    <t>N</t>
  </si>
  <si>
    <t>س</t>
  </si>
  <si>
    <t>Other community,social and personal services activities</t>
  </si>
  <si>
    <t>O</t>
  </si>
  <si>
    <t>ع</t>
  </si>
  <si>
    <t>Private households with employed persons</t>
  </si>
  <si>
    <t>P</t>
  </si>
  <si>
    <t>ف</t>
  </si>
  <si>
    <t>Extra-territorial organizations and bodies</t>
  </si>
  <si>
    <t>Q</t>
  </si>
  <si>
    <t>TOTAL BY ACTIVITES</t>
  </si>
  <si>
    <t xml:space="preserve">الناتج المحلي الإجمالي </t>
  </si>
  <si>
    <t>Imputed Bank Service Charge</t>
  </si>
  <si>
    <t xml:space="preserve">Total </t>
  </si>
  <si>
    <t>المحتويات</t>
  </si>
  <si>
    <t>العناوين</t>
  </si>
  <si>
    <t xml:space="preserve">المقدمة </t>
  </si>
  <si>
    <t>منهجيات التقدير للناتج المحلي الإجمالي والدخل القومي</t>
  </si>
  <si>
    <t>مصادر البيانات</t>
  </si>
  <si>
    <t>تحليل النتائج</t>
  </si>
  <si>
    <t>Private</t>
  </si>
  <si>
    <t>الدخل القومي بالاسعار الجارية  (مليار دينار)</t>
  </si>
  <si>
    <t>متوسط نصيب الفرد من الدخل القومي (الف دينار)</t>
  </si>
  <si>
    <t>الناتج المحلي الاجمالي بالاسعار الاساسية الجارية (مليار دينار)</t>
  </si>
  <si>
    <t>الناتج المحلي الاجمالي بالاسعار الاساسية الجارية (مليار دولار)</t>
  </si>
  <si>
    <t>متوسط نصيب الفرد من الناتج المحلي بالاسعار الجارية (الف دينار)</t>
  </si>
  <si>
    <t>National Income at current prices (Billion ID)</t>
  </si>
  <si>
    <t>NI per capita (000 ID)</t>
  </si>
  <si>
    <t>Gross Domestic Product at basic current prices (Billion ID)</t>
  </si>
  <si>
    <t>Gross Domestic Product at basic current prices (Billion US$)</t>
  </si>
  <si>
    <t>GDP per capita at current prices (000 ID)</t>
  </si>
  <si>
    <t>GDP per capita at current prices (000 US$)</t>
  </si>
  <si>
    <t>Minus:Imputed bank service charge</t>
  </si>
  <si>
    <t>Commodity Activities</t>
  </si>
  <si>
    <t>Distribution Activies</t>
  </si>
  <si>
    <t>Services Activities</t>
  </si>
  <si>
    <t>Minus: Imputed bank service charge</t>
  </si>
  <si>
    <t>Minus: Imputed Bank Service Charge</t>
  </si>
  <si>
    <t>النقل والاتصلات والخزن</t>
  </si>
  <si>
    <t>مجموع الأنشطة</t>
  </si>
  <si>
    <t>Total activities</t>
  </si>
  <si>
    <t xml:space="preserve">الزراعة والصيد والغابات </t>
  </si>
  <si>
    <t>الانشطة الاقتصادية</t>
  </si>
  <si>
    <t>الأنشطة العقارية والإيجارية والمشاريع التجارية</t>
  </si>
  <si>
    <t xml:space="preserve">الإداره العامة والدفاع والضمان الاجتماعي الالزامي </t>
  </si>
  <si>
    <t xml:space="preserve">الإدارة العامة والدفاع والضمان الاجتماعي الالزامي </t>
  </si>
  <si>
    <t xml:space="preserve">تجارة الجملة والمفرد واصلاح المركبات والسلع الشخصية </t>
  </si>
  <si>
    <t xml:space="preserve">الصحة والعمل الاجتماعي </t>
  </si>
  <si>
    <t xml:space="preserve">انشطة الخدمة المجتمعية والأجتماعية  والشخصية الاخرى </t>
  </si>
  <si>
    <t>الأسر المعيشية التى تعين افراداً لاداء الاعمال المنزلية</t>
  </si>
  <si>
    <t xml:space="preserve">المنظمات والهيئات غير الاقليمية </t>
  </si>
  <si>
    <t xml:space="preserve">المجموع حسب الأنشطة </t>
  </si>
  <si>
    <t xml:space="preserve">     ناقصا:  رسم الخدمة المحتسب </t>
  </si>
  <si>
    <t xml:space="preserve">الوساطة المالية </t>
  </si>
  <si>
    <t xml:space="preserve">الانشطة الاقتصادية </t>
  </si>
  <si>
    <t xml:space="preserve">الصناعة التحويلية </t>
  </si>
  <si>
    <t xml:space="preserve">المنظمات والهيئآت غير الاقليمية </t>
  </si>
  <si>
    <t>بالاسعار الثابتة  (2007=100)</t>
  </si>
  <si>
    <t>Relative share (%)</t>
  </si>
  <si>
    <t>At constant prices (2007=100)</t>
  </si>
  <si>
    <t>الناتج المحلي الاجمالي بالاسعار الثابتة (2007=100) (مليار دينار)</t>
  </si>
  <si>
    <t>Gross Domestic Product at constant  prices(2007=100) (Billion ID)</t>
  </si>
  <si>
    <t>الصفحة</t>
  </si>
  <si>
    <t>الجداول التفصيلية</t>
  </si>
  <si>
    <t>الاشكال البيانية</t>
  </si>
  <si>
    <t>مديرية الحسابات القومية - الجهاز المركزي للإحصاء / العراق</t>
  </si>
  <si>
    <t>معدل التغير السنوي  %</t>
  </si>
  <si>
    <t>معدل التغير السنوي %</t>
  </si>
  <si>
    <t xml:space="preserve">(ــ) لا توجد بيانات </t>
  </si>
  <si>
    <t>1-2</t>
  </si>
  <si>
    <t>1-8</t>
  </si>
  <si>
    <t>2-8</t>
  </si>
  <si>
    <t>1-9</t>
  </si>
  <si>
    <t>2-9</t>
  </si>
  <si>
    <t>جدول (1): الدخل القومي والناتج المحلي الإجمالي ومتوسط نصيب الفرد لكل منهما لسنتي 2016 &amp; 2017</t>
  </si>
  <si>
    <t>Table (16) Gross Value Added and its Components By Economic Activities, Private Sector at Current Prices for The Year 2017 (Million I.D.)</t>
  </si>
  <si>
    <t>Table (15) Value Of Gross Production, Gross Value Added By Economic Activities, Private Sector at Current Prices for The Year 2017 (Million I.D.)</t>
  </si>
  <si>
    <t>Table (14) Gross Value Added and its Components By Economic Activities, Public Sector at Current Prices for The Year 2017 (Million I.D.)</t>
  </si>
  <si>
    <t>Table (12) Gross Domestic Product By Economic Activities and Sectors ( Public, Private ) at Current Prices for The Year 2017 (Million I.D.)</t>
  </si>
  <si>
    <t>Table (11) Gross Value Added and its Components By Economic Activity at Current Prices for The Year 2017 (Million I.D.)</t>
  </si>
  <si>
    <t>Table (10) Value Of Gross Production, Gross Value Added By Economic Activity at Current Prices for The Year 2017 (Million I.D.)</t>
  </si>
  <si>
    <t xml:space="preserve">Table (9) Gross Domestic Product For the year 2017 by Economic Activities at Current &amp; Constant prices (2007=100) (Million I.D) &amp; Relative Share for them (%)        </t>
  </si>
  <si>
    <t>TABLE (8) Value of Gross Production, Gross Value Added and Its Compenents by Economic Activities, Private Sector at Current Prices for the year 2017 (Million I.D.)</t>
  </si>
  <si>
    <t>TABLE (7) Value for Gross Production, Gross Value Added and Its Compenents by Economic Activities, Public Sector at Current Prices for the year 2017 (Million I.D.)</t>
  </si>
  <si>
    <t>TABLE (6) Value of Gross Production, Gross Value Added and Its Compenents by Economic Activities at Current Prices for the year 2017 (Million I.D.)</t>
  </si>
  <si>
    <t>Table (5) Gross Domestic Product by Economic Activities , Sectors ( Public, Private ) at Current Prices for The Year 2017 (Million I.D.)</t>
  </si>
  <si>
    <t>Table (4) Gross Domestic Product For the year 2017 by Economic Activities at Current &amp; Constant prices (2007=100) (Million I.D)  &amp; Relative Share for them (%)</t>
  </si>
  <si>
    <t>جدول (3) الناتج المحلي الإجمالي بالأسعار الأساسية الجارية حسب مجموعات الأنشطة ( السلعية ، التوزيعية ، الخدمية) لسنة 2017 (مليار دينار)</t>
  </si>
  <si>
    <t>Table (3): Gross Domestic Product at basic current prices by Activities Group (Commodity, Distribution and Services) for the year 2017 (Billion I.D.)</t>
  </si>
  <si>
    <t>جدول (2)  الناتج المحلي الأجمالي بأسعار السوق لسنتي 2016 &amp; 2017   (مليار دينار)</t>
  </si>
  <si>
    <t>2970613.7(-)</t>
  </si>
  <si>
    <t xml:space="preserve">جدول (1) الدخل القومي والناتج المحلي الاجمالي ومتوسط نصيب الفرد لكل منهما لسنتي 2016 و 2017 </t>
  </si>
  <si>
    <t>جدول (2)  الناتج المحلي الأجمالي بأسعار السوق لسنتي 2016 و 2017 (مليار دينار)</t>
  </si>
  <si>
    <t>جدول (3) الناتج المحلي الاجمالي بالاسعار الاساسية الجارية حسب مجموعات الانشطة ( السلعية، التوزيعية، الخدمية) لسنة 2017 (مليار دينار)</t>
  </si>
  <si>
    <t>شكل (1) الناتج المحلي الاجمالي بالاسعار الاساسية الجارية حسب مجموعات الانشطة (السلعية، التوزيعية، الخدمية) لسنة 2017 (%)</t>
  </si>
  <si>
    <t>4_5</t>
  </si>
  <si>
    <t>Table (1): National Income, Gross Domestic Product and Per Capita for the years 2016 &amp; 2017</t>
  </si>
  <si>
    <t>Table (2)  Gross Domestic Product at Market prices for the years 2016 &amp;2017 (Billion I.D.)</t>
  </si>
  <si>
    <t>متوسط نصيب الفرد من الناتج المحلي بالاسعار الاساسية الجارية (الف دولار)</t>
  </si>
  <si>
    <t xml:space="preserve">جدول (4)  الناتج المحلي الإجمالي لسنة 2017 حسب الأنشطة الإقتصادية  بالأسعار الاساسية الجارية والأسعار الثابتة (2007=100) (مليون دينار) والاهميات النسبية لكل منهما (%) </t>
  </si>
  <si>
    <t xml:space="preserve">جدول (6) قيمة الأنتاج الإجمالي والقيمة المضافة الإجمالية وعناصرها حسب الأنشطة الإقتصادية بالأسعار الاساسية الجارية لسنة 2017 (مليون دينار) </t>
  </si>
  <si>
    <t xml:space="preserve">ناقصا :   رسم الخدمة المحتسب </t>
  </si>
  <si>
    <t xml:space="preserve">جدول (7) قيمة الأنتاج الإجمالي والقيمة المضافة  الإجمالية وعناصرها  حسب الأنشطة الإقتصادية بالأسعار الاساسية الجارية للقطاع العام لسنة 2017 (مليون دينار) </t>
  </si>
  <si>
    <t xml:space="preserve">جدول (8) قيمة الأنتاج الإجمالي والقيمة المضافة  الإجمالية وعناصرها  حسب الأنشطة الإقتصادية بالأسعار الاساسية الجارية للقطاع الخاص لسنة 2017 (مليون دينار) </t>
  </si>
  <si>
    <t>جدول (9)  الناتج المحلي الإجمالي لسنة 2017 حسب الأنشطة الإقتصادية  بالأسعار الاساسية الجارية والأسعار الثابتة (2007=100) (مليون دينار) والاهميات النسبية لكل منهما (%)</t>
  </si>
  <si>
    <t>جدول (10) قيمة الأنتاج الإجمالي والقيمة المضافة  الإجمالية حسب الأنشطة الإقتصادية بالأسعار الاساسية الجارية لسنة 2017 (مليون دينار)</t>
  </si>
  <si>
    <t>جدول (11) القيمة المضافة  الإجمالية وعناصرها  حسب الأنشطة الإقتصادية بالأسعار الاساسية الجارية لسنة 2017 (مليون دينار)</t>
  </si>
  <si>
    <t>جدول (12) الناتج المحلي الإجمالي حسب الأنشطة والقطاعين ( العام، الخاص) بالأسعار الاساسية الجارية لسنة 2017 (مليون دينار)</t>
  </si>
  <si>
    <t xml:space="preserve">جدول (13) قيمة الأنتاج الإجمالي والقيمة المضافة  الإجمالية حسب الأنشطة الإقتصادية بالأسعار الاساسية الجارية  للقطاع العام لسنة 2017 (مليون دينار) </t>
  </si>
  <si>
    <t xml:space="preserve">جدول (14) القيمة المضافة  الإجمالية وعناصرها  حسب الأنشطة الإقتصادية بالأسعار الاساسية الجارية  للقطاع العام لسنة 2017 (مليون دينار) </t>
  </si>
  <si>
    <t xml:space="preserve">جدول (15) قيمة الإنتاج الأجمالي والقيمة المضافة  الإجمالية حسب الأنشطة الإقتصادية بالأسعار الاساسية  الجارية  للقطاع الخاص لسنة 2017 (مليون دينار) </t>
  </si>
  <si>
    <t xml:space="preserve">جدول (16) القيمة المضافة  الإجمالية وعناصرها  حسب الأنشطة الإقتصادية بالأسعار الاساسية  الجارية  للقطاع الخاص لسنة 2017 (مليون دينار) </t>
  </si>
  <si>
    <t>جدول (5) الناتج المحلي الأجمالي حسب الأنشطة والقطاعات (العام، الخاص) بالأسعار الاساسية الجارية لسنة 2017 (مليون دينار)</t>
  </si>
  <si>
    <t>جدول (16) القيمة المضافة  الاجمالية وعناصرها  حسب الانشطة الاقتصادية بالاسعار الاساسية الجارية  للقطاع الخاص لسنة 2017 (مليون دينار)</t>
  </si>
  <si>
    <t>جدول (15) قيمة الانتاج الاجمالي والقيمة المضافة  الاجمالية حسب الانشطة الاقتصادية بالاسعار الاساسية الجارية  للقطاع الخاص لسنة 2017 (مليون دينار)</t>
  </si>
  <si>
    <t>جدول (14) القيمة المضافة  الاجمالية وعناصرها  حسب الانشطة الاقتصادية بالاسعار الاساسية الجارية  للقطاع العام لسنة 2017 (مليون دينار)</t>
  </si>
  <si>
    <t>جدول (13) قيمة الانتاج الاجمالي والقيمة المضافة  الاجمالية حسب الانشطة الاقتصادية بالاسعار الاساسية الجارية  للقطاع العام لسنة 2017 (مليون دينار)</t>
  </si>
  <si>
    <t>جدول (12) الناتج المحلي الاجمالي حسب الانشطة والقطاعين ( العام، الخاص) بالاسعار الاساسية الجارية لسنة 2017 (مليون دينار)</t>
  </si>
  <si>
    <t>جدول (11) القيمة المضافة  الاجمالية وعناصرها  حسب الانشطة الاقتصادية بالاسعار الاساسية الجارية لسنة 2017 (مليون دينار)</t>
  </si>
  <si>
    <t>جدول (10) قيمة الانتاج الاجمالي والقيمة المضافة  الاجمالية حسب الانشطة الاقتصادية بالاسعار الاساسية الجارية لسنة 2017 (مليون دينار)</t>
  </si>
  <si>
    <t>جدول (9) الناتج المحلي الإجمالي لسنة 2017 حسب الأنشطة الإقتصادية  بالأسعار الاساسية الجارية والاسعار الثابتة (2007=100) (مليون دينار) والاهميات النسبية لكل منهما (%)</t>
  </si>
  <si>
    <t>جدول (8) قيمة الانتاج الاجمالي والقيمة المضافة  الاجمالية وعناصرها  حسب الانشطة الاقتصادية بالاسعار الاساسية الجارية للقطاع الخاص لسنة 2017 (مليون دينار)</t>
  </si>
  <si>
    <t>جدول (7) قيمة الانتاج الاجمالي والقيمة المضافة  الاجمالية وعناصرها  حسب الانشطة الاقتصادية بالاسعار الاساسية الجارية للقطاع العام لسنة 2017 (مليون دينار)</t>
  </si>
  <si>
    <t>جدول (6) قيمة الانتاج الاجمالي والقيمة المضافة الاجمالية وعناصرها حسب الانشطة الاقتصادية بالاسعار الاساسية الجارية لسنة 2017 (مليون دينار)</t>
  </si>
  <si>
    <t>جدول (5) الناتج المحلي الاجمالي حسب الانشطة والقطاعات (العام، الخاص) بالاسعار الاساسية الجارية لسنة 2017 (مليون دينار)</t>
  </si>
  <si>
    <t>جدول (4) الناتج المحلي الإجمالي لسنة 2017 حسب الأنشطة الإقتصادية  بالأسعار الاساسية الجارية والاسعار الثابتة ( 2007=100) (مليون دينار) والاهميات النسبية لكل منهما (%)</t>
  </si>
</sst>
</file>

<file path=xl/styles.xml><?xml version="1.0" encoding="utf-8"?>
<styleSheet xmlns="http://schemas.openxmlformats.org/spreadsheetml/2006/main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_-* #,##0.00\-;_-* &quot;-&quot;??_-;_-@_-"/>
    <numFmt numFmtId="165" formatCode="0.0"/>
    <numFmt numFmtId="166" formatCode="0.000"/>
    <numFmt numFmtId="167" formatCode="0.0000"/>
    <numFmt numFmtId="168" formatCode="_-* #,##0.0_-;_-* #,##0.0\-;_-* &quot;-&quot;??_-;_-@_-"/>
  </numFmts>
  <fonts count="31">
    <font>
      <sz val="10"/>
      <name val="Arial"/>
      <charset val="178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  <charset val="178"/>
    </font>
    <font>
      <b/>
      <sz val="12"/>
      <name val="Arial"/>
      <family val="2"/>
      <charset val="178"/>
    </font>
    <font>
      <b/>
      <sz val="11"/>
      <name val="Arial"/>
      <family val="2"/>
      <charset val="178"/>
    </font>
    <font>
      <b/>
      <sz val="10"/>
      <name val="Arial"/>
      <family val="2"/>
      <charset val="178"/>
    </font>
    <font>
      <b/>
      <sz val="9"/>
      <name val="Arial"/>
      <family val="2"/>
      <charset val="178"/>
    </font>
    <font>
      <b/>
      <sz val="9"/>
      <name val="Arial"/>
      <family val="2"/>
    </font>
    <font>
      <b/>
      <sz val="9"/>
      <name val="Arial (Arabic)"/>
      <family val="2"/>
      <charset val="178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  <charset val="178"/>
    </font>
    <font>
      <b/>
      <sz val="16"/>
      <name val="Arial"/>
      <family val="2"/>
      <charset val="178"/>
    </font>
    <font>
      <b/>
      <sz val="14"/>
      <name val="Arial"/>
      <family val="2"/>
    </font>
    <font>
      <sz val="14"/>
      <name val="Arial"/>
      <family val="2"/>
      <charset val="178"/>
    </font>
    <font>
      <sz val="10"/>
      <name val="Arial"/>
      <family val="2"/>
    </font>
    <font>
      <sz val="12"/>
      <name val="Arial"/>
      <family val="2"/>
    </font>
    <font>
      <b/>
      <sz val="14"/>
      <name val="PT Bold Heading"/>
      <charset val="178"/>
    </font>
    <font>
      <b/>
      <sz val="12"/>
      <name val="PT Bold Heading"/>
      <charset val="178"/>
    </font>
    <font>
      <sz val="10"/>
      <name val="Arial"/>
      <family val="2"/>
    </font>
    <font>
      <b/>
      <sz val="9"/>
      <color indexed="81"/>
      <name val="Tahoma"/>
      <charset val="178"/>
    </font>
    <font>
      <sz val="9"/>
      <color indexed="81"/>
      <name val="Tahoma"/>
      <charset val="178"/>
    </font>
    <font>
      <b/>
      <sz val="9"/>
      <color indexed="81"/>
      <name val="Tahoma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12"/>
      <name val="AL-Mohanad Bold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23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28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49" fontId="7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0" fillId="0" borderId="0" xfId="0" applyBorder="1"/>
    <xf numFmtId="0" fontId="7" fillId="0" borderId="7" xfId="0" applyFont="1" applyFill="1" applyBorder="1" applyAlignment="1">
      <alignment horizontal="left" vertical="center" wrapText="1"/>
    </xf>
    <xf numFmtId="49" fontId="0" fillId="0" borderId="0" xfId="0" applyNumberFormat="1" applyBorder="1"/>
    <xf numFmtId="49" fontId="0" fillId="0" borderId="0" xfId="0" applyNumberFormat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5" fontId="0" fillId="0" borderId="0" xfId="0" applyNumberFormat="1" applyBorder="1"/>
    <xf numFmtId="49" fontId="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/>
    <xf numFmtId="0" fontId="14" fillId="0" borderId="0" xfId="0" applyFont="1" applyBorder="1" applyAlignment="1"/>
    <xf numFmtId="165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/>
    <xf numFmtId="49" fontId="4" fillId="0" borderId="1" xfId="0" applyNumberFormat="1" applyFont="1" applyBorder="1" applyAlignment="1"/>
    <xf numFmtId="0" fontId="15" fillId="0" borderId="0" xfId="0" applyFont="1" applyBorder="1"/>
    <xf numFmtId="0" fontId="0" fillId="0" borderId="0" xfId="0" applyFill="1" applyBorder="1" applyAlignment="1">
      <alignment vertical="center"/>
    </xf>
    <xf numFmtId="2" fontId="0" fillId="0" borderId="0" xfId="0" applyNumberFormat="1" applyBorder="1"/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/>
    </xf>
    <xf numFmtId="167" fontId="5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 wrapText="1"/>
    </xf>
    <xf numFmtId="165" fontId="0" fillId="0" borderId="0" xfId="0" applyNumberFormat="1" applyAlignment="1">
      <alignment vertical="center"/>
    </xf>
    <xf numFmtId="49" fontId="3" fillId="0" borderId="1" xfId="0" applyNumberFormat="1" applyFont="1" applyBorder="1" applyAlignment="1"/>
    <xf numFmtId="0" fontId="3" fillId="0" borderId="0" xfId="0" applyFont="1" applyFill="1" applyBorder="1" applyAlignment="1">
      <alignment horizontal="right" vertical="center" wrapText="1"/>
    </xf>
    <xf numFmtId="165" fontId="18" fillId="0" borderId="0" xfId="0" applyNumberFormat="1" applyFont="1" applyBorder="1"/>
    <xf numFmtId="2" fontId="18" fillId="0" borderId="0" xfId="0" applyNumberFormat="1" applyFont="1" applyBorder="1"/>
    <xf numFmtId="0" fontId="18" fillId="0" borderId="0" xfId="0" applyFont="1" applyBorder="1"/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49" fontId="7" fillId="0" borderId="4" xfId="0" applyNumberFormat="1" applyFont="1" applyFill="1" applyBorder="1" applyAlignment="1">
      <alignment horizontal="center" vertical="center" wrapText="1" readingOrder="2"/>
    </xf>
    <xf numFmtId="0" fontId="7" fillId="0" borderId="16" xfId="0" applyFont="1" applyBorder="1" applyAlignment="1">
      <alignment horizontal="right" vertical="center" wrapText="1"/>
    </xf>
    <xf numFmtId="0" fontId="3" fillId="0" borderId="1" xfId="0" applyNumberFormat="1" applyFont="1" applyBorder="1" applyAlignment="1"/>
    <xf numFmtId="0" fontId="4" fillId="0" borderId="0" xfId="0" applyFont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righ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righ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right" vertical="center" wrapText="1"/>
    </xf>
    <xf numFmtId="0" fontId="7" fillId="0" borderId="29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horizontal="righ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20" fillId="0" borderId="0" xfId="0" applyFont="1" applyBorder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165" fontId="19" fillId="0" borderId="0" xfId="0" applyNumberFormat="1" applyFont="1" applyBorder="1"/>
    <xf numFmtId="0" fontId="22" fillId="3" borderId="3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165" fontId="1" fillId="0" borderId="0" xfId="0" applyNumberFormat="1" applyFont="1" applyAlignment="1">
      <alignment vertical="center"/>
    </xf>
    <xf numFmtId="165" fontId="6" fillId="0" borderId="0" xfId="0" applyNumberFormat="1" applyFont="1" applyBorder="1" applyAlignment="1">
      <alignment vertical="center"/>
    </xf>
    <xf numFmtId="0" fontId="0" fillId="0" borderId="0" xfId="0" applyFill="1" applyAlignment="1">
      <alignment vertical="center"/>
    </xf>
    <xf numFmtId="166" fontId="0" fillId="0" borderId="0" xfId="0" applyNumberFormat="1" applyAlignment="1">
      <alignment vertical="center"/>
    </xf>
    <xf numFmtId="165" fontId="3" fillId="0" borderId="1" xfId="0" applyNumberFormat="1" applyFont="1" applyBorder="1" applyAlignment="1"/>
    <xf numFmtId="165" fontId="0" fillId="0" borderId="0" xfId="0" applyNumberFormat="1"/>
    <xf numFmtId="49" fontId="1" fillId="0" borderId="0" xfId="0" applyNumberFormat="1" applyFont="1" applyBorder="1"/>
    <xf numFmtId="165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165" fontId="0" fillId="0" borderId="0" xfId="0" applyNumberFormat="1" applyFill="1" applyBorder="1"/>
    <xf numFmtId="0" fontId="8" fillId="3" borderId="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8" fillId="0" borderId="4" xfId="0" applyNumberFormat="1" applyFont="1" applyBorder="1" applyAlignment="1">
      <alignment horizontal="left" vertical="center" wrapText="1"/>
    </xf>
    <xf numFmtId="165" fontId="6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3" borderId="7" xfId="0" applyFont="1" applyFill="1" applyBorder="1" applyAlignment="1">
      <alignment horizontal="center" vertical="center" wrapText="1"/>
    </xf>
    <xf numFmtId="165" fontId="0" fillId="0" borderId="0" xfId="0" applyNumberFormat="1" applyFill="1" applyAlignment="1">
      <alignment vertical="center"/>
    </xf>
    <xf numFmtId="165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/>
    </xf>
    <xf numFmtId="165" fontId="1" fillId="0" borderId="0" xfId="0" applyNumberFormat="1" applyFont="1" applyFill="1" applyAlignment="1">
      <alignment vertical="center"/>
    </xf>
    <xf numFmtId="0" fontId="9" fillId="0" borderId="4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165" fontId="0" fillId="0" borderId="0" xfId="0" applyNumberFormat="1" applyFill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Alignment="1">
      <alignment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165" fontId="5" fillId="6" borderId="28" xfId="0" applyNumberFormat="1" applyFont="1" applyFill="1" applyBorder="1" applyAlignment="1">
      <alignment horizontal="center" vertical="center"/>
    </xf>
    <xf numFmtId="165" fontId="5" fillId="6" borderId="34" xfId="0" applyNumberFormat="1" applyFont="1" applyFill="1" applyBorder="1" applyAlignment="1">
      <alignment horizontal="center" vertical="center"/>
    </xf>
    <xf numFmtId="165" fontId="5" fillId="0" borderId="25" xfId="0" applyNumberFormat="1" applyFont="1" applyFill="1" applyBorder="1" applyAlignment="1">
      <alignment horizontal="right" vertical="center"/>
    </xf>
    <xf numFmtId="165" fontId="5" fillId="0" borderId="28" xfId="0" applyNumberFormat="1" applyFont="1" applyFill="1" applyBorder="1" applyAlignment="1">
      <alignment horizontal="right" vertical="center"/>
    </xf>
    <xf numFmtId="165" fontId="5" fillId="0" borderId="34" xfId="0" applyNumberFormat="1" applyFont="1" applyFill="1" applyBorder="1" applyAlignment="1">
      <alignment horizontal="right" vertical="center"/>
    </xf>
    <xf numFmtId="165" fontId="5" fillId="2" borderId="28" xfId="0" applyNumberFormat="1" applyFont="1" applyFill="1" applyBorder="1" applyAlignment="1">
      <alignment horizontal="right" vertical="center"/>
    </xf>
    <xf numFmtId="165" fontId="5" fillId="2" borderId="34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0" fillId="0" borderId="0" xfId="0" applyFill="1"/>
    <xf numFmtId="165" fontId="7" fillId="0" borderId="25" xfId="0" applyNumberFormat="1" applyFont="1" applyFill="1" applyBorder="1" applyAlignment="1">
      <alignment horizontal="right" vertical="center"/>
    </xf>
    <xf numFmtId="165" fontId="7" fillId="0" borderId="28" xfId="0" applyNumberFormat="1" applyFont="1" applyFill="1" applyBorder="1" applyAlignment="1">
      <alignment horizontal="right" vertical="center"/>
    </xf>
    <xf numFmtId="165" fontId="7" fillId="6" borderId="28" xfId="0" applyNumberFormat="1" applyFont="1" applyFill="1" applyBorder="1" applyAlignment="1">
      <alignment horizontal="right" vertical="center" readingOrder="2"/>
    </xf>
    <xf numFmtId="165" fontId="7" fillId="0" borderId="34" xfId="0" applyNumberFormat="1" applyFont="1" applyFill="1" applyBorder="1" applyAlignment="1">
      <alignment horizontal="right" vertical="center"/>
    </xf>
    <xf numFmtId="165" fontId="7" fillId="0" borderId="31" xfId="0" applyNumberFormat="1" applyFont="1" applyFill="1" applyBorder="1" applyAlignment="1">
      <alignment horizontal="right" vertical="center"/>
    </xf>
    <xf numFmtId="165" fontId="0" fillId="0" borderId="0" xfId="0" applyNumberFormat="1" applyBorder="1" applyAlignment="1"/>
    <xf numFmtId="165" fontId="6" fillId="0" borderId="1" xfId="0" applyNumberFormat="1" applyFont="1" applyBorder="1" applyAlignment="1">
      <alignment vertical="center" wrapText="1"/>
    </xf>
    <xf numFmtId="2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165" fontId="12" fillId="0" borderId="0" xfId="0" applyNumberFormat="1" applyFont="1" applyAlignment="1">
      <alignment vertical="center" wrapText="1"/>
    </xf>
    <xf numFmtId="165" fontId="14" fillId="0" borderId="0" xfId="0" applyNumberFormat="1" applyFont="1" applyAlignment="1">
      <alignment horizontal="center" vertical="center"/>
    </xf>
    <xf numFmtId="2" fontId="11" fillId="0" borderId="0" xfId="0" applyNumberFormat="1" applyFont="1" applyBorder="1" applyAlignment="1">
      <alignment horizontal="center"/>
    </xf>
    <xf numFmtId="165" fontId="6" fillId="0" borderId="15" xfId="0" applyNumberFormat="1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/>
    </xf>
    <xf numFmtId="0" fontId="13" fillId="0" borderId="0" xfId="0" applyFont="1" applyFill="1" applyAlignment="1">
      <alignment horizontal="right" vertical="center" textRotation="180"/>
    </xf>
    <xf numFmtId="0" fontId="22" fillId="3" borderId="36" xfId="0" applyFont="1" applyFill="1" applyBorder="1" applyAlignment="1">
      <alignment horizontal="right" vertical="center" wrapText="1"/>
    </xf>
    <xf numFmtId="0" fontId="12" fillId="0" borderId="38" xfId="0" applyFont="1" applyBorder="1" applyAlignment="1">
      <alignment horizontal="right" vertical="center" wrapText="1"/>
    </xf>
    <xf numFmtId="0" fontId="12" fillId="0" borderId="38" xfId="0" applyFont="1" applyBorder="1" applyAlignment="1">
      <alignment horizontal="center" vertical="center" wrapText="1"/>
    </xf>
    <xf numFmtId="49" fontId="10" fillId="0" borderId="38" xfId="0" applyNumberFormat="1" applyFont="1" applyBorder="1" applyAlignment="1">
      <alignment horizontal="center" vertical="center" wrapText="1"/>
    </xf>
    <xf numFmtId="0" fontId="10" fillId="0" borderId="38" xfId="0" applyFont="1" applyBorder="1" applyAlignment="1">
      <alignment horizontal="right" vertical="center" wrapText="1"/>
    </xf>
    <xf numFmtId="0" fontId="0" fillId="0" borderId="41" xfId="0" applyBorder="1"/>
    <xf numFmtId="0" fontId="13" fillId="0" borderId="41" xfId="0" applyFont="1" applyBorder="1" applyAlignment="1">
      <alignment horizontal="center" textRotation="90"/>
    </xf>
    <xf numFmtId="0" fontId="10" fillId="0" borderId="14" xfId="0" applyFont="1" applyBorder="1" applyAlignment="1">
      <alignment horizontal="right" vertical="center"/>
    </xf>
    <xf numFmtId="0" fontId="0" fillId="0" borderId="14" xfId="0" applyBorder="1"/>
    <xf numFmtId="0" fontId="10" fillId="0" borderId="14" xfId="0" applyFont="1" applyBorder="1" applyAlignment="1">
      <alignment horizontal="left" vertical="center"/>
    </xf>
    <xf numFmtId="0" fontId="0" fillId="0" borderId="41" xfId="0" applyBorder="1" applyAlignment="1">
      <alignment vertical="center"/>
    </xf>
    <xf numFmtId="0" fontId="0" fillId="0" borderId="41" xfId="0" applyFill="1" applyBorder="1" applyAlignment="1">
      <alignment vertical="center"/>
    </xf>
    <xf numFmtId="0" fontId="13" fillId="0" borderId="41" xfId="0" applyFont="1" applyFill="1" applyBorder="1" applyAlignment="1">
      <alignment horizontal="center" textRotation="90"/>
    </xf>
    <xf numFmtId="1" fontId="13" fillId="0" borderId="41" xfId="0" applyNumberFormat="1" applyFont="1" applyBorder="1" applyAlignment="1">
      <alignment horizontal="center" textRotation="90"/>
    </xf>
    <xf numFmtId="1" fontId="13" fillId="0" borderId="41" xfId="0" applyNumberFormat="1" applyFont="1" applyFill="1" applyBorder="1" applyAlignment="1">
      <alignment horizontal="center" textRotation="90"/>
    </xf>
    <xf numFmtId="0" fontId="0" fillId="0" borderId="41" xfId="0" applyFill="1" applyBorder="1"/>
    <xf numFmtId="0" fontId="0" fillId="0" borderId="41" xfId="0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textRotation="90" wrapText="1"/>
    </xf>
    <xf numFmtId="2" fontId="0" fillId="0" borderId="0" xfId="0" applyNumberFormat="1" applyFill="1" applyBorder="1"/>
    <xf numFmtId="166" fontId="0" fillId="0" borderId="0" xfId="0" applyNumberFormat="1" applyFill="1" applyAlignment="1">
      <alignment vertical="center"/>
    </xf>
    <xf numFmtId="0" fontId="13" fillId="0" borderId="0" xfId="0" applyFont="1" applyFill="1" applyBorder="1" applyAlignment="1">
      <alignment horizontal="right" vertical="center" textRotation="180"/>
    </xf>
    <xf numFmtId="49" fontId="6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center" vertical="center" wrapText="1"/>
    </xf>
    <xf numFmtId="1" fontId="13" fillId="0" borderId="0" xfId="0" applyNumberFormat="1" applyFont="1" applyFill="1" applyAlignment="1">
      <alignment horizontal="right" vertical="center" textRotation="180"/>
    </xf>
    <xf numFmtId="0" fontId="13" fillId="0" borderId="0" xfId="0" applyFont="1" applyFill="1" applyAlignment="1">
      <alignment horizontal="left" vertical="center" textRotation="180" wrapText="1"/>
    </xf>
    <xf numFmtId="0" fontId="6" fillId="0" borderId="0" xfId="0" applyFont="1" applyBorder="1" applyAlignment="1">
      <alignment horizontal="right" vertical="center" readingOrder="2"/>
    </xf>
    <xf numFmtId="165" fontId="7" fillId="7" borderId="28" xfId="0" applyNumberFormat="1" applyFont="1" applyFill="1" applyBorder="1" applyAlignment="1">
      <alignment horizontal="right" vertical="center"/>
    </xf>
    <xf numFmtId="165" fontId="7" fillId="7" borderId="21" xfId="0" applyNumberFormat="1" applyFont="1" applyFill="1" applyBorder="1" applyAlignment="1">
      <alignment horizontal="right" vertical="center"/>
    </xf>
    <xf numFmtId="165" fontId="7" fillId="7" borderId="25" xfId="0" applyNumberFormat="1" applyFont="1" applyFill="1" applyBorder="1" applyAlignment="1">
      <alignment horizontal="right" vertical="center"/>
    </xf>
    <xf numFmtId="2" fontId="5" fillId="0" borderId="25" xfId="0" applyNumberFormat="1" applyFont="1" applyFill="1" applyBorder="1" applyAlignment="1">
      <alignment horizontal="right" vertical="center"/>
    </xf>
    <xf numFmtId="166" fontId="8" fillId="0" borderId="4" xfId="0" applyNumberFormat="1" applyFont="1" applyFill="1" applyBorder="1" applyAlignment="1">
      <alignment horizontal="center" vertical="center" wrapText="1"/>
    </xf>
    <xf numFmtId="166" fontId="8" fillId="4" borderId="4" xfId="0" applyNumberFormat="1" applyFont="1" applyFill="1" applyBorder="1" applyAlignment="1">
      <alignment horizontal="center" vertical="center" wrapText="1"/>
    </xf>
    <xf numFmtId="166" fontId="8" fillId="0" borderId="4" xfId="0" applyNumberFormat="1" applyFont="1" applyBorder="1" applyAlignment="1">
      <alignment horizontal="center" vertical="center" wrapText="1"/>
    </xf>
    <xf numFmtId="166" fontId="8" fillId="4" borderId="7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0" fontId="29" fillId="0" borderId="0" xfId="0" applyFont="1"/>
    <xf numFmtId="0" fontId="17" fillId="0" borderId="0" xfId="0" applyFont="1" applyBorder="1" applyAlignment="1">
      <alignment vertical="center"/>
    </xf>
    <xf numFmtId="166" fontId="6" fillId="0" borderId="0" xfId="0" applyNumberFormat="1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0" fillId="0" borderId="0" xfId="0" applyNumberFormat="1" applyAlignment="1">
      <alignment horizontal="center" vertical="center" wrapText="1"/>
    </xf>
    <xf numFmtId="165" fontId="5" fillId="0" borderId="29" xfId="0" applyNumberFormat="1" applyFont="1" applyFill="1" applyBorder="1" applyAlignment="1">
      <alignment horizontal="right" vertical="center"/>
    </xf>
    <xf numFmtId="165" fontId="7" fillId="0" borderId="21" xfId="0" applyNumberFormat="1" applyFont="1" applyFill="1" applyBorder="1" applyAlignment="1">
      <alignment horizontal="right" vertical="center"/>
    </xf>
    <xf numFmtId="2" fontId="13" fillId="0" borderId="0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vertical="center" wrapText="1"/>
    </xf>
    <xf numFmtId="165" fontId="7" fillId="0" borderId="4" xfId="0" applyNumberFormat="1" applyFont="1" applyFill="1" applyBorder="1" applyAlignment="1">
      <alignment vertical="center" wrapText="1"/>
    </xf>
    <xf numFmtId="165" fontId="7" fillId="0" borderId="8" xfId="0" applyNumberFormat="1" applyFont="1" applyFill="1" applyBorder="1" applyAlignment="1">
      <alignment vertical="center" wrapText="1"/>
    </xf>
    <xf numFmtId="165" fontId="7" fillId="7" borderId="11" xfId="0" applyNumberFormat="1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vertical="center" wrapText="1"/>
    </xf>
    <xf numFmtId="49" fontId="30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65" fontId="30" fillId="0" borderId="0" xfId="0" applyNumberFormat="1" applyFont="1" applyAlignment="1">
      <alignment vertical="center" wrapText="1"/>
    </xf>
    <xf numFmtId="165" fontId="8" fillId="7" borderId="0" xfId="0" applyNumberFormat="1" applyFont="1" applyFill="1" applyAlignment="1">
      <alignment vertical="center"/>
    </xf>
    <xf numFmtId="165" fontId="7" fillId="7" borderId="2" xfId="0" applyNumberFormat="1" applyFont="1" applyFill="1" applyBorder="1" applyAlignment="1">
      <alignment vertical="center" wrapText="1"/>
    </xf>
    <xf numFmtId="165" fontId="7" fillId="7" borderId="15" xfId="0" applyNumberFormat="1" applyFont="1" applyFill="1" applyBorder="1" applyAlignment="1">
      <alignment vertical="center" wrapText="1"/>
    </xf>
    <xf numFmtId="165" fontId="7" fillId="7" borderId="4" xfId="0" applyNumberFormat="1" applyFont="1" applyFill="1" applyBorder="1" applyAlignment="1">
      <alignment vertical="center" wrapText="1"/>
    </xf>
    <xf numFmtId="165" fontId="7" fillId="0" borderId="16" xfId="0" applyNumberFormat="1" applyFont="1" applyFill="1" applyBorder="1" applyAlignment="1">
      <alignment vertical="center" wrapText="1"/>
    </xf>
    <xf numFmtId="165" fontId="7" fillId="0" borderId="0" xfId="0" applyNumberFormat="1" applyFont="1" applyFill="1" applyBorder="1" applyAlignment="1">
      <alignment vertical="center" wrapText="1"/>
    </xf>
    <xf numFmtId="165" fontId="7" fillId="7" borderId="9" xfId="0" applyNumberFormat="1" applyFont="1" applyFill="1" applyBorder="1" applyAlignment="1">
      <alignment vertical="center" wrapText="1"/>
    </xf>
    <xf numFmtId="165" fontId="7" fillId="7" borderId="2" xfId="0" applyNumberFormat="1" applyFont="1" applyFill="1" applyBorder="1" applyAlignment="1">
      <alignment horizontal="left" vertical="center" wrapText="1"/>
    </xf>
    <xf numFmtId="165" fontId="7" fillId="0" borderId="6" xfId="0" applyNumberFormat="1" applyFont="1" applyBorder="1" applyAlignment="1">
      <alignment vertical="center" wrapText="1"/>
    </xf>
    <xf numFmtId="165" fontId="7" fillId="6" borderId="10" xfId="0" applyNumberFormat="1" applyFont="1" applyFill="1" applyBorder="1" applyAlignment="1">
      <alignment vertical="center" wrapText="1"/>
    </xf>
    <xf numFmtId="165" fontId="7" fillId="0" borderId="10" xfId="0" applyNumberFormat="1" applyFont="1" applyBorder="1" applyAlignment="1">
      <alignment vertical="center" wrapText="1"/>
    </xf>
    <xf numFmtId="165" fontId="7" fillId="0" borderId="12" xfId="0" applyNumberFormat="1" applyFont="1" applyBorder="1" applyAlignment="1">
      <alignment vertical="center" wrapText="1"/>
    </xf>
    <xf numFmtId="165" fontId="7" fillId="0" borderId="7" xfId="0" applyNumberFormat="1" applyFont="1" applyFill="1" applyBorder="1" applyAlignment="1">
      <alignment vertical="center" wrapText="1"/>
    </xf>
    <xf numFmtId="165" fontId="7" fillId="0" borderId="11" xfId="0" applyNumberFormat="1" applyFont="1" applyBorder="1" applyAlignment="1">
      <alignment vertical="center" wrapText="1"/>
    </xf>
    <xf numFmtId="165" fontId="7" fillId="6" borderId="14" xfId="0" applyNumberFormat="1" applyFont="1" applyFill="1" applyBorder="1" applyAlignment="1">
      <alignment vertical="center" wrapText="1"/>
    </xf>
    <xf numFmtId="165" fontId="7" fillId="7" borderId="5" xfId="0" applyNumberFormat="1" applyFont="1" applyFill="1" applyBorder="1" applyAlignment="1">
      <alignment vertical="center" wrapText="1"/>
    </xf>
    <xf numFmtId="165" fontId="7" fillId="4" borderId="4" xfId="0" applyNumberFormat="1" applyFont="1" applyFill="1" applyBorder="1" applyAlignment="1">
      <alignment vertical="center" wrapText="1"/>
    </xf>
    <xf numFmtId="166" fontId="7" fillId="0" borderId="4" xfId="0" applyNumberFormat="1" applyFont="1" applyBorder="1" applyAlignment="1">
      <alignment horizontal="center" vertical="center" wrapText="1"/>
    </xf>
    <xf numFmtId="165" fontId="7" fillId="4" borderId="7" xfId="0" applyNumberFormat="1" applyFont="1" applyFill="1" applyBorder="1" applyAlignment="1">
      <alignment vertical="center" wrapText="1"/>
    </xf>
    <xf numFmtId="165" fontId="7" fillId="0" borderId="13" xfId="0" applyNumberFormat="1" applyFont="1" applyBorder="1" applyAlignment="1">
      <alignment vertical="center" wrapText="1"/>
    </xf>
    <xf numFmtId="165" fontId="7" fillId="5" borderId="13" xfId="0" applyNumberFormat="1" applyFont="1" applyFill="1" applyBorder="1" applyAlignment="1">
      <alignment vertical="center" wrapText="1"/>
    </xf>
    <xf numFmtId="165" fontId="7" fillId="5" borderId="12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65" fontId="7" fillId="0" borderId="4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2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right" vertical="center" wrapText="1"/>
    </xf>
    <xf numFmtId="165" fontId="7" fillId="0" borderId="9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right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right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/>
    </xf>
    <xf numFmtId="0" fontId="8" fillId="0" borderId="8" xfId="0" applyFont="1" applyFill="1" applyBorder="1" applyAlignment="1">
      <alignment horizontal="right" vertical="center" wrapText="1"/>
    </xf>
    <xf numFmtId="165" fontId="8" fillId="0" borderId="8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165" fontId="7" fillId="0" borderId="5" xfId="0" applyNumberFormat="1" applyFont="1" applyFill="1" applyBorder="1" applyAlignment="1">
      <alignment vertical="center" wrapText="1"/>
    </xf>
    <xf numFmtId="165" fontId="7" fillId="0" borderId="15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0" fontId="10" fillId="0" borderId="38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165" fontId="7" fillId="7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165" fontId="7" fillId="0" borderId="0" xfId="0" applyNumberFormat="1" applyFont="1" applyBorder="1" applyAlignment="1">
      <alignment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5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readingOrder="2"/>
    </xf>
    <xf numFmtId="165" fontId="6" fillId="0" borderId="0" xfId="0" applyNumberFormat="1" applyFont="1" applyBorder="1" applyAlignment="1">
      <alignment vertical="center" wrapText="1"/>
    </xf>
    <xf numFmtId="2" fontId="7" fillId="0" borderId="2" xfId="0" applyNumberFormat="1" applyFont="1" applyFill="1" applyBorder="1" applyAlignment="1">
      <alignment vertical="center" wrapText="1"/>
    </xf>
    <xf numFmtId="2" fontId="7" fillId="0" borderId="4" xfId="0" applyNumberFormat="1" applyFont="1" applyFill="1" applyBorder="1" applyAlignment="1">
      <alignment vertical="center" wrapText="1"/>
    </xf>
    <xf numFmtId="165" fontId="7" fillId="0" borderId="4" xfId="0" applyNumberFormat="1" applyFont="1" applyFill="1" applyBorder="1" applyAlignment="1">
      <alignment vertical="center"/>
    </xf>
    <xf numFmtId="165" fontId="7" fillId="0" borderId="6" xfId="0" applyNumberFormat="1" applyFont="1" applyFill="1" applyBorder="1" applyAlignment="1">
      <alignment vertical="center" wrapText="1"/>
    </xf>
    <xf numFmtId="2" fontId="7" fillId="0" borderId="6" xfId="0" applyNumberFormat="1" applyFont="1" applyFill="1" applyBorder="1" applyAlignment="1">
      <alignment vertical="center" wrapText="1"/>
    </xf>
    <xf numFmtId="2" fontId="7" fillId="0" borderId="5" xfId="0" applyNumberFormat="1" applyFont="1" applyFill="1" applyBorder="1" applyAlignment="1">
      <alignment vertical="center" wrapText="1"/>
    </xf>
    <xf numFmtId="2" fontId="7" fillId="0" borderId="16" xfId="0" applyNumberFormat="1" applyFont="1" applyFill="1" applyBorder="1" applyAlignment="1">
      <alignment vertical="center" wrapText="1"/>
    </xf>
    <xf numFmtId="2" fontId="7" fillId="4" borderId="7" xfId="0" applyNumberFormat="1" applyFont="1" applyFill="1" applyBorder="1" applyAlignment="1">
      <alignment vertical="center" wrapText="1"/>
    </xf>
    <xf numFmtId="2" fontId="7" fillId="4" borderId="4" xfId="0" applyNumberFormat="1" applyFont="1" applyFill="1" applyBorder="1" applyAlignment="1">
      <alignment vertical="center" wrapText="1"/>
    </xf>
    <xf numFmtId="2" fontId="5" fillId="0" borderId="29" xfId="0" applyNumberFormat="1" applyFont="1" applyFill="1" applyBorder="1" applyAlignment="1">
      <alignment horizontal="right" vertical="center"/>
    </xf>
    <xf numFmtId="2" fontId="5" fillId="0" borderId="28" xfId="0" applyNumberFormat="1" applyFont="1" applyFill="1" applyBorder="1" applyAlignment="1">
      <alignment horizontal="right" vertical="center"/>
    </xf>
    <xf numFmtId="165" fontId="5" fillId="0" borderId="29" xfId="6" applyNumberFormat="1" applyFont="1" applyFill="1" applyBorder="1" applyAlignment="1">
      <alignment horizontal="right" vertical="center"/>
    </xf>
    <xf numFmtId="165" fontId="5" fillId="0" borderId="29" xfId="0" applyNumberFormat="1" applyFont="1" applyFill="1" applyBorder="1" applyAlignment="1">
      <alignment vertical="center" wrapText="1"/>
    </xf>
    <xf numFmtId="2" fontId="5" fillId="0" borderId="29" xfId="0" applyNumberFormat="1" applyFont="1" applyFill="1" applyBorder="1" applyAlignment="1">
      <alignment horizontal="left" vertical="center" wrapText="1"/>
    </xf>
    <xf numFmtId="165" fontId="5" fillId="0" borderId="21" xfId="0" applyNumberFormat="1" applyFont="1" applyFill="1" applyBorder="1" applyAlignment="1">
      <alignment horizontal="right" vertical="center"/>
    </xf>
    <xf numFmtId="2" fontId="5" fillId="0" borderId="21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Alignment="1">
      <alignment vertical="center"/>
    </xf>
    <xf numFmtId="168" fontId="7" fillId="0" borderId="4" xfId="6" applyNumberFormat="1" applyFont="1" applyFill="1" applyBorder="1" applyAlignment="1">
      <alignment vertical="center" wrapText="1"/>
    </xf>
    <xf numFmtId="2" fontId="8" fillId="0" borderId="2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3" fillId="0" borderId="39" xfId="0" applyFont="1" applyBorder="1" applyAlignment="1">
      <alignment horizontal="right" vertical="center" wrapText="1"/>
    </xf>
    <xf numFmtId="0" fontId="13" fillId="0" borderId="40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12" fillId="0" borderId="15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top" textRotation="9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readingOrder="2"/>
    </xf>
    <xf numFmtId="0" fontId="6" fillId="0" borderId="1" xfId="0" applyFont="1" applyBorder="1" applyAlignment="1">
      <alignment horizontal="right" vertical="center" readingOrder="2"/>
    </xf>
    <xf numFmtId="0" fontId="5" fillId="0" borderId="0" xfId="0" applyFont="1" applyBorder="1" applyAlignment="1">
      <alignment horizontal="left"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4" borderId="4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4" borderId="8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2" fontId="7" fillId="5" borderId="13" xfId="0" applyNumberFormat="1" applyFont="1" applyFill="1" applyBorder="1" applyAlignment="1">
      <alignment vertical="center" wrapText="1"/>
    </xf>
    <xf numFmtId="2" fontId="0" fillId="0" borderId="0" xfId="0" applyNumberFormat="1" applyBorder="1" applyAlignment="1">
      <alignment vertical="center"/>
    </xf>
    <xf numFmtId="166" fontId="0" fillId="0" borderId="0" xfId="0" applyNumberFormat="1" applyFill="1" applyBorder="1" applyAlignment="1">
      <alignment vertical="center"/>
    </xf>
  </cellXfs>
  <cellStyles count="8">
    <cellStyle name="Comma" xfId="6" builtinId="3"/>
    <cellStyle name="Comma 2" xfId="7"/>
    <cellStyle name="Normal" xfId="0" builtinId="0"/>
    <cellStyle name="Normal 2" xfId="5"/>
    <cellStyle name="عملة [0]_تعاون انعام66" xfId="1"/>
    <cellStyle name="عملة_تعاون انعام66" xfId="2"/>
    <cellStyle name="فاصلة [0]_تعاون انعام66" xfId="3"/>
    <cellStyle name="فاصلة_تعاون انعام6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/>
            </a:pPr>
            <a:r>
              <a:rPr lang="ar-SA" sz="1200"/>
              <a:t>شكل (1) </a:t>
            </a:r>
            <a:r>
              <a:rPr lang="ar-IQ" sz="1200"/>
              <a:t>الاهميات</a:t>
            </a:r>
            <a:r>
              <a:rPr lang="ar-IQ" sz="1200" baseline="0"/>
              <a:t> النسبية ل</a:t>
            </a:r>
            <a:r>
              <a:rPr lang="ar-SA" sz="1200"/>
              <a:t>لناتج المحلي الاجمالي بالاسعار الاساسية الجارية حسب مجموعات الانشطة (السلعية ، التوزيعية ، الخدمية) لسنة</a:t>
            </a:r>
            <a:r>
              <a:rPr lang="ar-IQ" sz="1200"/>
              <a:t> 2017</a:t>
            </a:r>
            <a:endParaRPr lang="en-US" sz="1200"/>
          </a:p>
          <a:p>
            <a:pPr>
              <a:defRPr sz="1200"/>
            </a:pPr>
            <a:r>
              <a:rPr lang="en-US" sz="1200"/>
              <a:t>Figure(1): Relative Share for Gross Domestic Product at basic current prices by Activities Group (Commodity, Distributio</a:t>
            </a:r>
          </a:p>
        </c:rich>
      </c:tx>
      <c:layout>
        <c:manualLayout>
          <c:xMode val="edge"/>
          <c:yMode val="edge"/>
          <c:x val="0.11162787984835228"/>
          <c:y val="2.469124314006205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8.8597154893005028E-2"/>
          <c:y val="0.27858377077866386"/>
          <c:w val="0.8085708147691506"/>
          <c:h val="0.51915573053369923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0.23516486828035385"/>
                  <c:y val="-6.01048964985328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53.59</a:t>
                    </a:r>
                  </a:p>
                </c:rich>
              </c:tx>
              <c:showPercent val="1"/>
            </c:dLbl>
            <c:dLbl>
              <c:idx val="1"/>
              <c:layout>
                <c:manualLayout>
                  <c:x val="0.11427303981368526"/>
                  <c:y val="-0.1943838501668772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21.45</a:t>
                    </a:r>
                  </a:p>
                </c:rich>
              </c:tx>
              <c:showPercent val="1"/>
            </c:dLbl>
            <c:dLbl>
              <c:idx val="2"/>
              <c:layout>
                <c:manualLayout>
                  <c:x val="0.13085388974265538"/>
                  <c:y val="4.10984738018858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24.96</a:t>
                    </a:r>
                  </a:p>
                </c:rich>
              </c:tx>
              <c:showPercent val="1"/>
            </c:dLbl>
            <c:showPercent val="1"/>
            <c:showLeaderLines val="1"/>
          </c:dLbls>
          <c:cat>
            <c:strRef>
              <c:f>'جدول 3'!$A$5:$A$7</c:f>
              <c:strCache>
                <c:ptCount val="3"/>
                <c:pt idx="0">
                  <c:v>الانشطة السلعية</c:v>
                </c:pt>
                <c:pt idx="1">
                  <c:v>الانشطة التوزيعية</c:v>
                </c:pt>
                <c:pt idx="2">
                  <c:v>الانشطة الخدمية</c:v>
                </c:pt>
              </c:strCache>
            </c:strRef>
          </c:cat>
          <c:val>
            <c:numRef>
              <c:f>'جدول 3'!$C$5:$C$7</c:f>
              <c:numCache>
                <c:formatCode>0.00</c:formatCode>
                <c:ptCount val="3"/>
                <c:pt idx="0">
                  <c:v>53.59</c:v>
                </c:pt>
                <c:pt idx="1">
                  <c:v>21.45</c:v>
                </c:pt>
                <c:pt idx="2">
                  <c:v>24.96</c:v>
                </c:pt>
              </c:numCache>
            </c:numRef>
          </c:val>
        </c:ser>
        <c:dLbls>
          <c:showPercent val="1"/>
        </c:dLbls>
      </c:pie3DChart>
    </c:plotArea>
    <c:legend>
      <c:legendPos val="b"/>
      <c:layout/>
    </c:legend>
    <c:plotVisOnly val="1"/>
    <c:dispBlanksAs val="zero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10</xdr:row>
      <xdr:rowOff>66677</xdr:rowOff>
    </xdr:from>
    <xdr:to>
      <xdr:col>3</xdr:col>
      <xdr:colOff>2047875</xdr:colOff>
      <xdr:row>34</xdr:row>
      <xdr:rowOff>57151</xdr:rowOff>
    </xdr:to>
    <xdr:graphicFrame macro="">
      <xdr:nvGraphicFramePr>
        <xdr:cNvPr id="5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rightToLeft="1" view="pageBreakPreview" topLeftCell="A16" zoomScaleSheetLayoutView="100" workbookViewId="0">
      <selection activeCell="A29" sqref="A29"/>
    </sheetView>
  </sheetViews>
  <sheetFormatPr defaultRowHeight="35.1" customHeight="1"/>
  <cols>
    <col min="1" max="1" width="97.140625" style="86" customWidth="1"/>
    <col min="2" max="2" width="13.28515625" style="35" customWidth="1"/>
    <col min="3" max="16384" width="9.140625" style="35"/>
  </cols>
  <sheetData>
    <row r="1" spans="1:4" ht="47.25" customHeight="1" thickBot="1">
      <c r="A1" s="349" t="s">
        <v>166</v>
      </c>
      <c r="B1" s="349"/>
    </row>
    <row r="2" spans="1:4" ht="43.5" customHeight="1" thickTop="1">
      <c r="A2" s="179" t="s">
        <v>167</v>
      </c>
      <c r="B2" s="109" t="s">
        <v>214</v>
      </c>
    </row>
    <row r="3" spans="1:4" ht="30.75" customHeight="1">
      <c r="A3" s="180" t="s">
        <v>168</v>
      </c>
      <c r="B3" s="181">
        <v>1</v>
      </c>
    </row>
    <row r="4" spans="1:4" ht="30" customHeight="1">
      <c r="A4" s="180" t="s">
        <v>169</v>
      </c>
      <c r="B4" s="181">
        <v>2</v>
      </c>
    </row>
    <row r="5" spans="1:4" ht="30" customHeight="1">
      <c r="A5" s="180" t="s">
        <v>170</v>
      </c>
      <c r="B5" s="182" t="s">
        <v>59</v>
      </c>
    </row>
    <row r="6" spans="1:4" ht="33" customHeight="1">
      <c r="A6" s="180" t="s">
        <v>171</v>
      </c>
      <c r="B6" s="313" t="s">
        <v>247</v>
      </c>
    </row>
    <row r="7" spans="1:4" ht="33" customHeight="1">
      <c r="A7" s="350" t="s">
        <v>215</v>
      </c>
      <c r="B7" s="351"/>
    </row>
    <row r="8" spans="1:4" ht="35.1" customHeight="1">
      <c r="A8" s="183" t="s">
        <v>243</v>
      </c>
      <c r="B8" s="181">
        <v>6</v>
      </c>
      <c r="C8" s="87"/>
      <c r="D8" s="87"/>
    </row>
    <row r="9" spans="1:4" ht="35.1" customHeight="1">
      <c r="A9" s="183" t="s">
        <v>244</v>
      </c>
      <c r="B9" s="181">
        <v>7</v>
      </c>
    </row>
    <row r="10" spans="1:4" ht="35.1" customHeight="1">
      <c r="A10" s="183" t="s">
        <v>245</v>
      </c>
      <c r="B10" s="181">
        <v>8</v>
      </c>
    </row>
    <row r="11" spans="1:4" ht="35.1" customHeight="1">
      <c r="A11" s="183" t="s">
        <v>277</v>
      </c>
      <c r="B11" s="181">
        <v>9</v>
      </c>
    </row>
    <row r="12" spans="1:4" ht="32.25" customHeight="1">
      <c r="A12" s="183" t="s">
        <v>276</v>
      </c>
      <c r="B12" s="181">
        <v>10</v>
      </c>
    </row>
    <row r="13" spans="1:4" ht="30" customHeight="1">
      <c r="A13" s="183" t="s">
        <v>275</v>
      </c>
      <c r="B13" s="181">
        <v>11</v>
      </c>
    </row>
    <row r="14" spans="1:4" ht="35.1" customHeight="1">
      <c r="A14" s="183" t="s">
        <v>274</v>
      </c>
      <c r="B14" s="181">
        <v>12</v>
      </c>
    </row>
    <row r="15" spans="1:4" ht="35.1" customHeight="1">
      <c r="A15" s="183" t="s">
        <v>273</v>
      </c>
      <c r="B15" s="181">
        <v>13</v>
      </c>
    </row>
    <row r="16" spans="1:4" ht="38.25" customHeight="1">
      <c r="A16" s="183" t="s">
        <v>272</v>
      </c>
      <c r="B16" s="181">
        <v>14</v>
      </c>
    </row>
    <row r="17" spans="1:2" ht="34.5" customHeight="1">
      <c r="A17" s="183" t="s">
        <v>271</v>
      </c>
      <c r="B17" s="181">
        <v>15</v>
      </c>
    </row>
    <row r="18" spans="1:2" ht="37.5" customHeight="1">
      <c r="A18" s="183" t="s">
        <v>270</v>
      </c>
      <c r="B18" s="181">
        <v>16</v>
      </c>
    </row>
    <row r="19" spans="1:2" ht="34.5" customHeight="1">
      <c r="A19" s="183" t="s">
        <v>269</v>
      </c>
      <c r="B19" s="181">
        <v>17</v>
      </c>
    </row>
    <row r="20" spans="1:2" ht="35.1" customHeight="1">
      <c r="A20" s="183" t="s">
        <v>268</v>
      </c>
      <c r="B20" s="181">
        <v>18</v>
      </c>
    </row>
    <row r="21" spans="1:2" ht="28.5" customHeight="1">
      <c r="A21" s="183" t="s">
        <v>267</v>
      </c>
      <c r="B21" s="181">
        <v>19</v>
      </c>
    </row>
    <row r="22" spans="1:2" ht="29.25" customHeight="1">
      <c r="A22" s="183" t="s">
        <v>266</v>
      </c>
      <c r="B22" s="181">
        <v>20</v>
      </c>
    </row>
    <row r="23" spans="1:2" ht="35.1" customHeight="1">
      <c r="A23" s="183" t="s">
        <v>265</v>
      </c>
      <c r="B23" s="181">
        <v>21</v>
      </c>
    </row>
    <row r="24" spans="1:2" s="88" customFormat="1" ht="28.5" customHeight="1">
      <c r="A24" s="352" t="s">
        <v>216</v>
      </c>
      <c r="B24" s="352"/>
    </row>
    <row r="25" spans="1:2" ht="34.5" customHeight="1">
      <c r="A25" s="183" t="s">
        <v>246</v>
      </c>
      <c r="B25" s="181">
        <v>8</v>
      </c>
    </row>
    <row r="26" spans="1:2" s="88" customFormat="1" ht="41.25" customHeight="1" thickBot="1">
      <c r="A26" s="69"/>
      <c r="B26" s="89"/>
    </row>
    <row r="27" spans="1:2" s="88" customFormat="1" ht="26.25" customHeight="1">
      <c r="A27" s="353" t="s">
        <v>217</v>
      </c>
      <c r="B27" s="354"/>
    </row>
    <row r="28" spans="1:2" s="88" customFormat="1" ht="35.1" customHeight="1">
      <c r="A28" s="69"/>
      <c r="B28" s="89"/>
    </row>
    <row r="29" spans="1:2" s="88" customFormat="1" ht="35.1" customHeight="1">
      <c r="A29" s="90"/>
      <c r="B29" s="89"/>
    </row>
    <row r="30" spans="1:2" s="88" customFormat="1" ht="35.1" customHeight="1">
      <c r="A30" s="90"/>
      <c r="B30" s="89"/>
    </row>
    <row r="31" spans="1:2" s="88" customFormat="1" ht="40.5" customHeight="1">
      <c r="A31" s="90"/>
      <c r="B31" s="89"/>
    </row>
    <row r="32" spans="1:2" s="88" customFormat="1" ht="36.75" customHeight="1">
      <c r="A32" s="90"/>
      <c r="B32" s="89"/>
    </row>
    <row r="33" spans="1:2" s="88" customFormat="1" ht="39.75" customHeight="1">
      <c r="A33" s="90"/>
      <c r="B33" s="89"/>
    </row>
    <row r="34" spans="1:2" s="88" customFormat="1" ht="35.1" customHeight="1">
      <c r="A34" s="90"/>
      <c r="B34" s="89"/>
    </row>
    <row r="35" spans="1:2" s="88" customFormat="1" ht="35.1" customHeight="1">
      <c r="A35" s="85"/>
    </row>
  </sheetData>
  <mergeCells count="4">
    <mergeCell ref="A1:B1"/>
    <mergeCell ref="A7:B7"/>
    <mergeCell ref="A24:B24"/>
    <mergeCell ref="A27:B27"/>
  </mergeCells>
  <phoneticPr fontId="2" type="noConversion"/>
  <printOptions horizontalCentered="1"/>
  <pageMargins left="0.27" right="0.24" top="0.47" bottom="0.511811023622047" header="0.31496062992126" footer="0.196850393700787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K40"/>
  <sheetViews>
    <sheetView rightToLeft="1" view="pageBreakPreview" topLeftCell="A4" zoomScaleSheetLayoutView="100" workbookViewId="0">
      <selection activeCell="H13" sqref="H13"/>
    </sheetView>
  </sheetViews>
  <sheetFormatPr defaultRowHeight="12.75"/>
  <cols>
    <col min="1" max="1" width="5.7109375" style="2" customWidth="1"/>
    <col min="2" max="2" width="4.28515625" style="2" customWidth="1"/>
    <col min="3" max="3" width="6.7109375" style="2" customWidth="1"/>
    <col min="4" max="4" width="24.5703125" style="2" customWidth="1"/>
    <col min="5" max="5" width="15.7109375" style="2" customWidth="1"/>
    <col min="6" max="6" width="11.7109375" style="2" customWidth="1"/>
    <col min="7" max="7" width="17.42578125" style="2" customWidth="1"/>
    <col min="8" max="8" width="10" style="2" customWidth="1"/>
    <col min="9" max="9" width="36.7109375" style="2" customWidth="1"/>
    <col min="10" max="10" width="6.7109375" style="2" customWidth="1"/>
    <col min="11" max="11" width="11.5703125" style="2" bestFit="1" customWidth="1"/>
    <col min="12" max="12" width="13.42578125" style="2" customWidth="1"/>
    <col min="13" max="13" width="9.140625" style="2"/>
    <col min="14" max="14" width="12" style="2" bestFit="1" customWidth="1"/>
    <col min="15" max="16384" width="9.140625" style="2"/>
  </cols>
  <sheetData>
    <row r="1" spans="1:11" s="104" customFormat="1" ht="33.75" customHeight="1">
      <c r="A1" s="358" t="s">
        <v>217</v>
      </c>
      <c r="C1" s="385" t="s">
        <v>256</v>
      </c>
      <c r="D1" s="385"/>
      <c r="E1" s="385"/>
      <c r="F1" s="385"/>
      <c r="G1" s="385"/>
      <c r="H1" s="385"/>
      <c r="I1" s="385"/>
      <c r="J1" s="385"/>
    </row>
    <row r="2" spans="1:11" s="104" customFormat="1" ht="39" customHeight="1" thickBot="1">
      <c r="A2" s="358"/>
      <c r="C2" s="386" t="s">
        <v>233</v>
      </c>
      <c r="D2" s="386"/>
      <c r="E2" s="386"/>
      <c r="F2" s="386"/>
      <c r="G2" s="386"/>
      <c r="H2" s="386"/>
      <c r="I2" s="386"/>
      <c r="J2" s="386"/>
    </row>
    <row r="3" spans="1:11" ht="36.950000000000003" customHeight="1" thickTop="1" thickBot="1">
      <c r="A3" s="358"/>
      <c r="C3" s="409" t="s">
        <v>45</v>
      </c>
      <c r="D3" s="366" t="s">
        <v>46</v>
      </c>
      <c r="E3" s="226" t="s">
        <v>85</v>
      </c>
      <c r="F3" s="226" t="s">
        <v>93</v>
      </c>
      <c r="G3" s="226" t="s">
        <v>209</v>
      </c>
      <c r="H3" s="226" t="s">
        <v>93</v>
      </c>
      <c r="I3" s="370" t="s">
        <v>47</v>
      </c>
      <c r="J3" s="409" t="s">
        <v>48</v>
      </c>
    </row>
    <row r="4" spans="1:11" ht="36.950000000000003" customHeight="1" thickBot="1">
      <c r="A4" s="358"/>
      <c r="C4" s="367"/>
      <c r="D4" s="367"/>
      <c r="E4" s="133" t="s">
        <v>97</v>
      </c>
      <c r="F4" s="134" t="s">
        <v>96</v>
      </c>
      <c r="G4" s="134" t="s">
        <v>211</v>
      </c>
      <c r="H4" s="134" t="s">
        <v>210</v>
      </c>
      <c r="I4" s="371"/>
      <c r="J4" s="367"/>
    </row>
    <row r="5" spans="1:11" s="33" customFormat="1" ht="21.75" customHeight="1">
      <c r="A5" s="358"/>
      <c r="C5" s="10">
        <v>1</v>
      </c>
      <c r="D5" s="11" t="s">
        <v>49</v>
      </c>
      <c r="E5" s="228">
        <v>6598384.7999999998</v>
      </c>
      <c r="F5" s="328">
        <v>2.94</v>
      </c>
      <c r="G5" s="304">
        <v>3863223</v>
      </c>
      <c r="H5" s="333">
        <v>1.87</v>
      </c>
      <c r="I5" s="12" t="s">
        <v>50</v>
      </c>
      <c r="J5" s="214">
        <v>1</v>
      </c>
      <c r="K5" s="427"/>
    </row>
    <row r="6" spans="1:11" s="33" customFormat="1" ht="21.75" customHeight="1">
      <c r="A6" s="358"/>
      <c r="C6" s="13">
        <v>2</v>
      </c>
      <c r="D6" s="14" t="s">
        <v>51</v>
      </c>
      <c r="E6" s="229">
        <f>E7+E8</f>
        <v>89065057.700000003</v>
      </c>
      <c r="F6" s="329">
        <f>F7+F8</f>
        <v>39.65</v>
      </c>
      <c r="G6" s="229">
        <f>G7+G8</f>
        <v>129839551.3</v>
      </c>
      <c r="H6" s="333">
        <f>H7+H8</f>
        <v>62.779999999999994</v>
      </c>
      <c r="I6" s="5" t="s">
        <v>52</v>
      </c>
      <c r="J6" s="215">
        <v>2</v>
      </c>
      <c r="K6" s="427"/>
    </row>
    <row r="7" spans="1:11" s="33" customFormat="1" ht="21.75" customHeight="1">
      <c r="A7" s="358"/>
      <c r="C7" s="91" t="s">
        <v>221</v>
      </c>
      <c r="D7" s="14" t="s">
        <v>113</v>
      </c>
      <c r="E7" s="229">
        <v>88664813</v>
      </c>
      <c r="F7" s="329">
        <v>39.47</v>
      </c>
      <c r="G7" s="304">
        <v>129589085.3</v>
      </c>
      <c r="H7" s="333">
        <v>62.66</v>
      </c>
      <c r="I7" s="5" t="s">
        <v>55</v>
      </c>
      <c r="J7" s="210" t="s">
        <v>53</v>
      </c>
      <c r="K7" s="427"/>
    </row>
    <row r="8" spans="1:11" s="33" customFormat="1" ht="21.75" customHeight="1">
      <c r="A8" s="358"/>
      <c r="C8" s="38" t="s">
        <v>56</v>
      </c>
      <c r="D8" s="14" t="s">
        <v>57</v>
      </c>
      <c r="E8" s="229">
        <v>400244.7</v>
      </c>
      <c r="F8" s="329">
        <v>0.18</v>
      </c>
      <c r="G8" s="304">
        <v>250466</v>
      </c>
      <c r="H8" s="333">
        <v>0.12</v>
      </c>
      <c r="I8" s="5" t="s">
        <v>58</v>
      </c>
      <c r="J8" s="210" t="s">
        <v>56</v>
      </c>
      <c r="K8" s="427"/>
    </row>
    <row r="9" spans="1:11" s="33" customFormat="1" ht="21.75" customHeight="1">
      <c r="A9" s="190"/>
      <c r="C9" s="39">
        <v>3</v>
      </c>
      <c r="D9" s="14" t="s">
        <v>60</v>
      </c>
      <c r="E9" s="330">
        <v>4819896.4000000004</v>
      </c>
      <c r="F9" s="329">
        <v>2.14</v>
      </c>
      <c r="G9" s="304">
        <v>1926417.4</v>
      </c>
      <c r="H9" s="333">
        <v>0.93</v>
      </c>
      <c r="I9" s="5" t="s">
        <v>61</v>
      </c>
      <c r="J9" s="210" t="s">
        <v>59</v>
      </c>
      <c r="K9" s="427"/>
    </row>
    <row r="10" spans="1:11" s="33" customFormat="1" ht="21.75" customHeight="1">
      <c r="A10" s="190"/>
      <c r="C10" s="39">
        <v>4</v>
      </c>
      <c r="D10" s="14" t="s">
        <v>63</v>
      </c>
      <c r="E10" s="229">
        <v>6486406.0999999996</v>
      </c>
      <c r="F10" s="329">
        <v>2.89</v>
      </c>
      <c r="G10" s="229">
        <v>1938555.3</v>
      </c>
      <c r="H10" s="329">
        <v>0.94</v>
      </c>
      <c r="I10" s="5" t="s">
        <v>0</v>
      </c>
      <c r="J10" s="210" t="s">
        <v>62</v>
      </c>
      <c r="K10" s="427"/>
    </row>
    <row r="11" spans="1:11" s="33" customFormat="1" ht="21.75" customHeight="1">
      <c r="A11" s="190"/>
      <c r="C11" s="39">
        <v>5</v>
      </c>
      <c r="D11" s="14" t="s">
        <v>2</v>
      </c>
      <c r="E11" s="229">
        <v>13408942.4</v>
      </c>
      <c r="F11" s="329">
        <v>5.97</v>
      </c>
      <c r="G11" s="304">
        <v>8987226.8000000007</v>
      </c>
      <c r="H11" s="333">
        <v>4.3499999999999996</v>
      </c>
      <c r="I11" s="5" t="s">
        <v>3</v>
      </c>
      <c r="J11" s="210" t="s">
        <v>1</v>
      </c>
      <c r="K11" s="427"/>
    </row>
    <row r="12" spans="1:11" s="33" customFormat="1" ht="21.75" customHeight="1">
      <c r="A12" s="190"/>
      <c r="C12" s="402" t="s">
        <v>99</v>
      </c>
      <c r="D12" s="402"/>
      <c r="E12" s="253">
        <f>E5+E7+E8+E9+E10+E11</f>
        <v>120378687.40000001</v>
      </c>
      <c r="F12" s="336">
        <f>F5+F7+F8+F9+F10+F11</f>
        <v>53.589999999999996</v>
      </c>
      <c r="G12" s="253">
        <f>G5+G7+G8+G9+G10+G11</f>
        <v>146554973.80000001</v>
      </c>
      <c r="H12" s="336">
        <f>H5+H7+H8+H9+H10+H11</f>
        <v>70.87</v>
      </c>
      <c r="I12" s="110" t="s">
        <v>185</v>
      </c>
      <c r="J12" s="211"/>
      <c r="K12" s="427"/>
    </row>
    <row r="13" spans="1:11" s="33" customFormat="1" ht="21.75" customHeight="1">
      <c r="A13" s="190"/>
      <c r="C13" s="39">
        <v>6</v>
      </c>
      <c r="D13" s="14" t="s">
        <v>190</v>
      </c>
      <c r="E13" s="229">
        <v>23981785.800000001</v>
      </c>
      <c r="F13" s="329">
        <v>10.68</v>
      </c>
      <c r="G13" s="241">
        <v>16160233</v>
      </c>
      <c r="H13" s="334">
        <v>7.81</v>
      </c>
      <c r="I13" s="5" t="s">
        <v>6</v>
      </c>
      <c r="J13" s="210" t="s">
        <v>4</v>
      </c>
      <c r="K13" s="427"/>
    </row>
    <row r="14" spans="1:11" s="33" customFormat="1" ht="21.75" customHeight="1">
      <c r="A14" s="190"/>
      <c r="C14" s="39">
        <v>7</v>
      </c>
      <c r="D14" s="14" t="s">
        <v>8</v>
      </c>
      <c r="E14" s="229">
        <v>20071980.100000001</v>
      </c>
      <c r="F14" s="329">
        <v>8.93</v>
      </c>
      <c r="G14" s="229">
        <v>14672908.6</v>
      </c>
      <c r="H14" s="329">
        <v>7.09</v>
      </c>
      <c r="I14" s="147" t="s">
        <v>9</v>
      </c>
      <c r="J14" s="210" t="s">
        <v>7</v>
      </c>
      <c r="K14" s="427"/>
    </row>
    <row r="15" spans="1:11" s="33" customFormat="1" ht="21.75" customHeight="1">
      <c r="A15" s="190"/>
      <c r="C15" s="38" t="s">
        <v>222</v>
      </c>
      <c r="D15" s="14" t="s">
        <v>14</v>
      </c>
      <c r="E15" s="229">
        <v>4137873.5</v>
      </c>
      <c r="F15" s="329">
        <v>1.84</v>
      </c>
      <c r="G15" s="304">
        <v>2349729.4</v>
      </c>
      <c r="H15" s="329">
        <v>1.1399999999999999</v>
      </c>
      <c r="I15" s="5" t="s">
        <v>15</v>
      </c>
      <c r="J15" s="210" t="s">
        <v>13</v>
      </c>
      <c r="K15" s="427"/>
    </row>
    <row r="16" spans="1:11" s="33" customFormat="1" ht="21.75" customHeight="1">
      <c r="A16" s="190"/>
      <c r="C16" s="403" t="s">
        <v>100</v>
      </c>
      <c r="D16" s="403"/>
      <c r="E16" s="253">
        <f>E13+E14+E15</f>
        <v>48191639.400000006</v>
      </c>
      <c r="F16" s="336">
        <f>F15+F14+F13</f>
        <v>21.45</v>
      </c>
      <c r="G16" s="253">
        <f>G13+G14+G15</f>
        <v>33182871</v>
      </c>
      <c r="H16" s="336">
        <f>H13+H14+H15</f>
        <v>16.04</v>
      </c>
      <c r="I16" s="110" t="s">
        <v>186</v>
      </c>
      <c r="J16" s="211"/>
      <c r="K16" s="427"/>
    </row>
    <row r="17" spans="1:11" s="33" customFormat="1" ht="21.75" customHeight="1">
      <c r="A17" s="190"/>
      <c r="C17" s="38" t="s">
        <v>223</v>
      </c>
      <c r="D17" s="14" t="s">
        <v>17</v>
      </c>
      <c r="E17" s="229">
        <v>15052742.1</v>
      </c>
      <c r="F17" s="329">
        <v>6.7</v>
      </c>
      <c r="G17" s="304">
        <v>7977075.7999999998</v>
      </c>
      <c r="H17" s="333">
        <v>3.86</v>
      </c>
      <c r="I17" s="5" t="s">
        <v>18</v>
      </c>
      <c r="J17" s="210" t="s">
        <v>16</v>
      </c>
      <c r="K17" s="427"/>
    </row>
    <row r="18" spans="1:11" s="33" customFormat="1" ht="21.75" customHeight="1">
      <c r="A18" s="190"/>
      <c r="C18" s="39">
        <v>9</v>
      </c>
      <c r="D18" s="14" t="s">
        <v>20</v>
      </c>
      <c r="E18" s="229">
        <f>E19+E20</f>
        <v>41013254.299999997</v>
      </c>
      <c r="F18" s="329">
        <f>F19+F20</f>
        <v>18.260000000000002</v>
      </c>
      <c r="G18" s="304">
        <f>G19+G20</f>
        <v>19102036.5</v>
      </c>
      <c r="H18" s="333">
        <f>H19+H20</f>
        <v>9.23</v>
      </c>
      <c r="I18" s="5" t="s">
        <v>21</v>
      </c>
      <c r="J18" s="210" t="s">
        <v>19</v>
      </c>
      <c r="K18" s="427"/>
    </row>
    <row r="19" spans="1:11" ht="21.75" customHeight="1">
      <c r="A19" s="189"/>
      <c r="C19" s="40" t="s">
        <v>224</v>
      </c>
      <c r="D19" s="45" t="s">
        <v>92</v>
      </c>
      <c r="E19" s="229">
        <v>34016847.399999999</v>
      </c>
      <c r="F19" s="329">
        <v>15.14</v>
      </c>
      <c r="G19" s="304">
        <v>14881446</v>
      </c>
      <c r="H19" s="333">
        <v>7.19</v>
      </c>
      <c r="I19" s="5" t="s">
        <v>91</v>
      </c>
      <c r="J19" s="212" t="s">
        <v>22</v>
      </c>
      <c r="K19" s="427"/>
    </row>
    <row r="20" spans="1:11" ht="21.75" customHeight="1">
      <c r="A20" s="189"/>
      <c r="C20" s="40" t="s">
        <v>225</v>
      </c>
      <c r="D20" s="45" t="s">
        <v>24</v>
      </c>
      <c r="E20" s="229">
        <v>6996406.9000000004</v>
      </c>
      <c r="F20" s="329">
        <v>3.12</v>
      </c>
      <c r="G20" s="304">
        <v>4220590.5</v>
      </c>
      <c r="H20" s="333">
        <v>2.04</v>
      </c>
      <c r="I20" s="137" t="s">
        <v>25</v>
      </c>
      <c r="J20" s="254" t="s">
        <v>23</v>
      </c>
      <c r="K20" s="427"/>
    </row>
    <row r="21" spans="1:11" ht="21.75" customHeight="1" thickBot="1">
      <c r="A21" s="189"/>
      <c r="C21" s="404" t="s">
        <v>101</v>
      </c>
      <c r="D21" s="404"/>
      <c r="E21" s="255">
        <f>E17+E19+E20</f>
        <v>56065996.399999999</v>
      </c>
      <c r="F21" s="335">
        <f>F20+F19+F17</f>
        <v>24.96</v>
      </c>
      <c r="G21" s="255">
        <f>G17+G19+G20</f>
        <v>27079112.300000001</v>
      </c>
      <c r="H21" s="335">
        <f>H17+H19+H20</f>
        <v>13.09</v>
      </c>
      <c r="I21" s="111" t="s">
        <v>187</v>
      </c>
      <c r="J21" s="213"/>
      <c r="K21" s="427"/>
    </row>
    <row r="22" spans="1:11" ht="21.75" customHeight="1" thickBot="1">
      <c r="A22" s="189"/>
      <c r="C22" s="405" t="s">
        <v>191</v>
      </c>
      <c r="D22" s="405"/>
      <c r="E22" s="245">
        <f>E12+E16+E21</f>
        <v>224636323.20000002</v>
      </c>
      <c r="F22" s="332">
        <f>F20+F19+F17+F15+F14+F13+F11+F10+F9+F8+F7+F5</f>
        <v>100</v>
      </c>
      <c r="G22" s="331">
        <f>G12+G16+G21</f>
        <v>206816957.10000002</v>
      </c>
      <c r="H22" s="332">
        <f>H5+H7+H8+H9+H10+H11+H13+H14+H15+H17+H19+H20</f>
        <v>100.00000000000001</v>
      </c>
      <c r="I22" s="406" t="s">
        <v>192</v>
      </c>
      <c r="J22" s="406"/>
      <c r="K22" s="427"/>
    </row>
    <row r="23" spans="1:11" ht="21.75" customHeight="1">
      <c r="A23" s="189"/>
      <c r="C23" s="407" t="s">
        <v>28</v>
      </c>
      <c r="D23" s="407"/>
      <c r="E23" s="256">
        <v>2970613.7</v>
      </c>
      <c r="F23" s="425">
        <f>F12+F16+F21</f>
        <v>100</v>
      </c>
      <c r="G23" s="252">
        <v>1686890.2</v>
      </c>
      <c r="H23" s="257"/>
      <c r="I23" s="408" t="s">
        <v>188</v>
      </c>
      <c r="J23" s="408"/>
    </row>
    <row r="24" spans="1:11" ht="21.75" customHeight="1" thickBot="1">
      <c r="A24" s="193"/>
      <c r="C24" s="400" t="s">
        <v>29</v>
      </c>
      <c r="D24" s="400"/>
      <c r="E24" s="248">
        <f>E22-E23</f>
        <v>221665709.50000003</v>
      </c>
      <c r="F24" s="258"/>
      <c r="G24" s="248">
        <f>G22-G23</f>
        <v>205130066.90000004</v>
      </c>
      <c r="H24" s="258"/>
      <c r="I24" s="401" t="s">
        <v>30</v>
      </c>
      <c r="J24" s="401"/>
    </row>
    <row r="25" spans="1:11" ht="18" customHeight="1" thickTop="1">
      <c r="A25" s="193">
        <v>14</v>
      </c>
      <c r="B25" s="218"/>
      <c r="C25" s="217"/>
      <c r="D25" s="172"/>
      <c r="E25" s="125"/>
      <c r="F25" s="126"/>
      <c r="G25" s="139"/>
      <c r="H25" s="139"/>
      <c r="I25" s="136"/>
      <c r="J25" s="136"/>
    </row>
    <row r="26" spans="1:11" ht="15">
      <c r="A26" s="189"/>
      <c r="E26" s="26"/>
      <c r="F26" s="426"/>
    </row>
    <row r="27" spans="1:11" ht="15">
      <c r="A27" s="189"/>
      <c r="E27" s="26"/>
      <c r="F27" s="26"/>
    </row>
    <row r="28" spans="1:11" ht="15">
      <c r="E28" s="26"/>
      <c r="F28" s="2">
        <f>E12/E22*100</f>
        <v>53.588255757206049</v>
      </c>
    </row>
    <row r="29" spans="1:11" ht="15">
      <c r="E29" s="26"/>
      <c r="F29" s="2">
        <f>E16/E22*100</f>
        <v>21.453182064903029</v>
      </c>
    </row>
    <row r="30" spans="1:11" ht="15">
      <c r="E30" s="26"/>
      <c r="F30" s="2">
        <f>E21/E22*100</f>
        <v>24.958562177890915</v>
      </c>
    </row>
    <row r="31" spans="1:11" ht="15">
      <c r="E31" s="26"/>
      <c r="F31" s="26"/>
    </row>
    <row r="32" spans="1:11" ht="15">
      <c r="E32" s="26"/>
    </row>
    <row r="33" spans="5:5" ht="15">
      <c r="E33" s="26"/>
    </row>
    <row r="34" spans="5:5" ht="15">
      <c r="E34" s="26"/>
    </row>
    <row r="35" spans="5:5" ht="15">
      <c r="E35" s="26"/>
    </row>
    <row r="36" spans="5:5" ht="15">
      <c r="E36" s="26"/>
    </row>
    <row r="37" spans="5:5" ht="15">
      <c r="E37" s="26"/>
    </row>
    <row r="38" spans="5:5" ht="15">
      <c r="E38" s="26"/>
    </row>
    <row r="39" spans="5:5" ht="15">
      <c r="E39" s="26"/>
    </row>
    <row r="40" spans="5:5" ht="15">
      <c r="E40" s="26"/>
    </row>
  </sheetData>
  <mergeCells count="16">
    <mergeCell ref="A1:A8"/>
    <mergeCell ref="C24:D24"/>
    <mergeCell ref="I24:J24"/>
    <mergeCell ref="C12:D12"/>
    <mergeCell ref="C16:D16"/>
    <mergeCell ref="C21:D21"/>
    <mergeCell ref="C22:D22"/>
    <mergeCell ref="I22:J22"/>
    <mergeCell ref="C23:D23"/>
    <mergeCell ref="I23:J23"/>
    <mergeCell ref="C1:J1"/>
    <mergeCell ref="C2:J2"/>
    <mergeCell ref="C3:C4"/>
    <mergeCell ref="D3:D4"/>
    <mergeCell ref="I3:I4"/>
    <mergeCell ref="J3:J4"/>
  </mergeCells>
  <printOptions horizontalCentered="1" verticalCentered="1"/>
  <pageMargins left="0.19685039370078741" right="0.23622047244094491" top="0.31496062992125984" bottom="0.19685039370078741" header="0.19685039370078741" footer="0.19685039370078741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O60"/>
  <sheetViews>
    <sheetView rightToLeft="1" view="pageBreakPreview" topLeftCell="A13" zoomScaleSheetLayoutView="100" workbookViewId="0">
      <selection activeCell="A29" sqref="A29"/>
    </sheetView>
  </sheetViews>
  <sheetFormatPr defaultRowHeight="12.75"/>
  <cols>
    <col min="1" max="1" width="4" style="6" customWidth="1"/>
    <col min="2" max="2" width="4.42578125" style="6" customWidth="1"/>
    <col min="3" max="3" width="6.7109375" style="6" customWidth="1"/>
    <col min="4" max="4" width="26.7109375" style="6" customWidth="1"/>
    <col min="5" max="7" width="25.85546875" style="6" customWidth="1"/>
    <col min="8" max="8" width="35.7109375" style="6" customWidth="1"/>
    <col min="9" max="9" width="6.7109375" style="6" customWidth="1"/>
    <col min="10" max="10" width="11.7109375" style="6" customWidth="1"/>
    <col min="11" max="11" width="15.85546875" style="6" customWidth="1"/>
    <col min="12" max="12" width="14.42578125" style="6" customWidth="1"/>
    <col min="13" max="13" width="10.42578125" style="6" bestFit="1" customWidth="1"/>
    <col min="14" max="14" width="12.7109375" style="6" bestFit="1" customWidth="1"/>
    <col min="15" max="15" width="12.140625" style="6" bestFit="1" customWidth="1"/>
    <col min="16" max="16384" width="9.140625" style="6"/>
  </cols>
  <sheetData>
    <row r="1" spans="1:15" s="32" customFormat="1" ht="24" customHeight="1">
      <c r="A1" s="358" t="s">
        <v>217</v>
      </c>
      <c r="C1" s="385" t="s">
        <v>257</v>
      </c>
      <c r="D1" s="385"/>
      <c r="E1" s="385"/>
      <c r="F1" s="385"/>
      <c r="G1" s="385"/>
      <c r="H1" s="385"/>
      <c r="I1" s="385"/>
      <c r="J1" s="94"/>
    </row>
    <row r="2" spans="1:15" s="32" customFormat="1" ht="39" customHeight="1" thickBot="1">
      <c r="A2" s="358"/>
      <c r="C2" s="386" t="s">
        <v>232</v>
      </c>
      <c r="D2" s="386"/>
      <c r="E2" s="386"/>
      <c r="F2" s="386"/>
      <c r="G2" s="386"/>
      <c r="H2" s="386"/>
      <c r="I2" s="386"/>
      <c r="J2" s="103"/>
    </row>
    <row r="3" spans="1:15" ht="24.95" customHeight="1" thickTop="1">
      <c r="A3" s="358"/>
      <c r="C3" s="366" t="s">
        <v>45</v>
      </c>
      <c r="D3" s="366" t="s">
        <v>46</v>
      </c>
      <c r="E3" s="225" t="s">
        <v>64</v>
      </c>
      <c r="F3" s="225" t="s">
        <v>65</v>
      </c>
      <c r="G3" s="225" t="s">
        <v>66</v>
      </c>
      <c r="H3" s="366" t="s">
        <v>47</v>
      </c>
      <c r="I3" s="366" t="s">
        <v>48</v>
      </c>
    </row>
    <row r="4" spans="1:15" ht="24.95" customHeight="1" thickBot="1">
      <c r="A4" s="358"/>
      <c r="C4" s="367"/>
      <c r="D4" s="367"/>
      <c r="E4" s="226" t="s">
        <v>67</v>
      </c>
      <c r="F4" s="226" t="s">
        <v>68</v>
      </c>
      <c r="G4" s="226" t="s">
        <v>69</v>
      </c>
      <c r="H4" s="367"/>
      <c r="I4" s="367"/>
    </row>
    <row r="5" spans="1:15" ht="30" customHeight="1">
      <c r="A5" s="358"/>
      <c r="C5" s="24">
        <v>1</v>
      </c>
      <c r="D5" s="92" t="s">
        <v>49</v>
      </c>
      <c r="E5" s="238">
        <v>9813602.8000000007</v>
      </c>
      <c r="F5" s="238">
        <v>3215218</v>
      </c>
      <c r="G5" s="244">
        <f>E5-F5</f>
        <v>6598384.8000000007</v>
      </c>
      <c r="H5" s="12" t="s">
        <v>50</v>
      </c>
      <c r="I5" s="49">
        <v>1</v>
      </c>
      <c r="K5" s="21"/>
      <c r="L5" s="34"/>
      <c r="M5" s="21"/>
      <c r="N5" s="21"/>
    </row>
    <row r="6" spans="1:15" ht="30" customHeight="1">
      <c r="A6" s="358"/>
      <c r="C6" s="50">
        <v>2</v>
      </c>
      <c r="D6" s="45" t="s">
        <v>51</v>
      </c>
      <c r="E6" s="240">
        <f>E7+E8</f>
        <v>95090968.300000012</v>
      </c>
      <c r="F6" s="240">
        <f>F7+F8</f>
        <v>6025910.6000000006</v>
      </c>
      <c r="G6" s="240">
        <f>G7+G8</f>
        <v>89065057.700000003</v>
      </c>
      <c r="H6" s="5" t="s">
        <v>52</v>
      </c>
      <c r="I6" s="51">
        <v>2</v>
      </c>
      <c r="J6" s="21"/>
      <c r="K6" s="21"/>
      <c r="L6" s="34"/>
      <c r="M6" s="21"/>
      <c r="N6" s="21"/>
    </row>
    <row r="7" spans="1:15" ht="30" customHeight="1">
      <c r="A7" s="358"/>
      <c r="C7" s="40" t="s">
        <v>221</v>
      </c>
      <c r="D7" s="45" t="s">
        <v>54</v>
      </c>
      <c r="E7" s="240">
        <v>94444473.900000006</v>
      </c>
      <c r="F7" s="240">
        <v>5779660.9000000004</v>
      </c>
      <c r="G7" s="240">
        <f>E7-F7</f>
        <v>88664813</v>
      </c>
      <c r="H7" s="5" t="s">
        <v>71</v>
      </c>
      <c r="I7" s="51" t="s">
        <v>53</v>
      </c>
      <c r="K7" s="21"/>
      <c r="L7" s="34"/>
      <c r="M7" s="21"/>
      <c r="N7" s="21"/>
    </row>
    <row r="8" spans="1:15" ht="30" customHeight="1">
      <c r="A8" s="358"/>
      <c r="C8" s="40" t="s">
        <v>56</v>
      </c>
      <c r="D8" s="45" t="s">
        <v>57</v>
      </c>
      <c r="E8" s="240">
        <v>646494.4</v>
      </c>
      <c r="F8" s="240">
        <v>246249.7</v>
      </c>
      <c r="G8" s="240">
        <f>E8-F8</f>
        <v>400244.7</v>
      </c>
      <c r="H8" s="5" t="s">
        <v>58</v>
      </c>
      <c r="I8" s="42" t="s">
        <v>56</v>
      </c>
      <c r="K8" s="21"/>
      <c r="L8" s="34"/>
      <c r="M8" s="21"/>
      <c r="N8" s="21"/>
    </row>
    <row r="9" spans="1:15" s="150" customFormat="1" ht="30" customHeight="1">
      <c r="A9" s="358"/>
      <c r="C9" s="38" t="s">
        <v>59</v>
      </c>
      <c r="D9" s="14" t="s">
        <v>60</v>
      </c>
      <c r="E9" s="229">
        <v>10453396.5</v>
      </c>
      <c r="F9" s="229">
        <v>5633500.0999999996</v>
      </c>
      <c r="G9" s="229">
        <f>E9-F9</f>
        <v>4819896.4000000004</v>
      </c>
      <c r="H9" s="5" t="s">
        <v>61</v>
      </c>
      <c r="I9" s="37" t="s">
        <v>59</v>
      </c>
      <c r="K9" s="132"/>
      <c r="L9" s="34"/>
      <c r="M9" s="21"/>
      <c r="N9" s="21"/>
    </row>
    <row r="10" spans="1:15" ht="30" customHeight="1">
      <c r="A10" s="184"/>
      <c r="C10" s="52" t="s">
        <v>62</v>
      </c>
      <c r="D10" s="45" t="s">
        <v>63</v>
      </c>
      <c r="E10" s="345">
        <v>9965651.9000000004</v>
      </c>
      <c r="F10" s="345">
        <v>3479245.8</v>
      </c>
      <c r="G10" s="345">
        <f>E10-F10</f>
        <v>6486406.1000000006</v>
      </c>
      <c r="H10" s="5" t="s">
        <v>0</v>
      </c>
      <c r="I10" s="42" t="s">
        <v>62</v>
      </c>
      <c r="K10" s="21"/>
      <c r="L10" s="34"/>
      <c r="M10" s="21"/>
      <c r="N10" s="21"/>
    </row>
    <row r="11" spans="1:15" s="150" customFormat="1" ht="30" customHeight="1">
      <c r="A11" s="194"/>
      <c r="C11" s="38" t="s">
        <v>1</v>
      </c>
      <c r="D11" s="14" t="s">
        <v>2</v>
      </c>
      <c r="E11" s="229">
        <v>22726385.100000001</v>
      </c>
      <c r="F11" s="229">
        <v>9317442.6999999993</v>
      </c>
      <c r="G11" s="229">
        <f t="shared" ref="G11:G19" si="0">E11-F11</f>
        <v>13408942.400000002</v>
      </c>
      <c r="H11" s="5" t="s">
        <v>3</v>
      </c>
      <c r="I11" s="37" t="s">
        <v>1</v>
      </c>
      <c r="K11" s="132"/>
      <c r="L11" s="34"/>
      <c r="M11" s="21"/>
      <c r="N11" s="21"/>
    </row>
    <row r="12" spans="1:15" s="150" customFormat="1" ht="30" customHeight="1">
      <c r="A12" s="194"/>
      <c r="C12" s="38" t="s">
        <v>4</v>
      </c>
      <c r="D12" s="14" t="s">
        <v>5</v>
      </c>
      <c r="E12" s="229">
        <v>37970694</v>
      </c>
      <c r="F12" s="229">
        <v>13988908.199999999</v>
      </c>
      <c r="G12" s="229">
        <f>E12-F12</f>
        <v>23981785.800000001</v>
      </c>
      <c r="H12" s="5" t="s">
        <v>6</v>
      </c>
      <c r="I12" s="37" t="s">
        <v>4</v>
      </c>
      <c r="J12" s="200">
        <v>14</v>
      </c>
      <c r="K12" s="132"/>
      <c r="L12" s="34"/>
      <c r="M12" s="21"/>
      <c r="N12" s="21"/>
    </row>
    <row r="13" spans="1:15" s="150" customFormat="1" ht="30" customHeight="1">
      <c r="A13" s="194"/>
      <c r="C13" s="38" t="s">
        <v>7</v>
      </c>
      <c r="D13" s="14" t="s">
        <v>8</v>
      </c>
      <c r="E13" s="229">
        <v>27788249.899999999</v>
      </c>
      <c r="F13" s="229">
        <v>7716269.7999999998</v>
      </c>
      <c r="G13" s="229">
        <f>E13-F13</f>
        <v>20071980.099999998</v>
      </c>
      <c r="H13" s="147" t="s">
        <v>9</v>
      </c>
      <c r="I13" s="37" t="s">
        <v>7</v>
      </c>
      <c r="K13" s="132"/>
      <c r="L13" s="34"/>
      <c r="M13" s="21"/>
      <c r="N13" s="21"/>
      <c r="O13" s="6"/>
    </row>
    <row r="14" spans="1:15" ht="30" customHeight="1">
      <c r="A14" s="184"/>
      <c r="C14" s="53" t="s">
        <v>10</v>
      </c>
      <c r="D14" s="55" t="s">
        <v>11</v>
      </c>
      <c r="E14" s="229">
        <f>E15+E16</f>
        <v>23439657.199999999</v>
      </c>
      <c r="F14" s="229">
        <f>F15+F16</f>
        <v>4249041.5999999996</v>
      </c>
      <c r="G14" s="229">
        <f>G15+G16</f>
        <v>19190615.600000001</v>
      </c>
      <c r="H14" s="58" t="s">
        <v>12</v>
      </c>
      <c r="I14" s="42" t="s">
        <v>10</v>
      </c>
      <c r="J14" s="21"/>
      <c r="K14" s="21"/>
      <c r="L14" s="34"/>
      <c r="M14" s="21"/>
      <c r="N14" s="21"/>
      <c r="O14" s="150"/>
    </row>
    <row r="15" spans="1:15" s="150" customFormat="1" ht="30" customHeight="1">
      <c r="A15" s="194"/>
      <c r="C15" s="38" t="s">
        <v>222</v>
      </c>
      <c r="D15" s="14" t="s">
        <v>14</v>
      </c>
      <c r="E15" s="240">
        <v>4622179</v>
      </c>
      <c r="F15" s="240">
        <v>484305.5</v>
      </c>
      <c r="G15" s="240">
        <f t="shared" si="0"/>
        <v>4137873.5</v>
      </c>
      <c r="H15" s="5" t="s">
        <v>15</v>
      </c>
      <c r="I15" s="202" t="s">
        <v>13</v>
      </c>
      <c r="K15" s="132"/>
      <c r="L15" s="34"/>
      <c r="M15" s="21"/>
      <c r="N15" s="21"/>
      <c r="O15" s="6"/>
    </row>
    <row r="16" spans="1:15" ht="30" customHeight="1">
      <c r="A16" s="184"/>
      <c r="C16" s="227" t="s">
        <v>223</v>
      </c>
      <c r="D16" s="45" t="s">
        <v>17</v>
      </c>
      <c r="E16" s="240">
        <v>18817478.199999999</v>
      </c>
      <c r="F16" s="240">
        <v>3764736.1</v>
      </c>
      <c r="G16" s="240">
        <f t="shared" si="0"/>
        <v>15052742.1</v>
      </c>
      <c r="H16" s="5" t="s">
        <v>18</v>
      </c>
      <c r="I16" s="42" t="s">
        <v>16</v>
      </c>
      <c r="K16" s="21"/>
      <c r="L16" s="34"/>
      <c r="M16" s="21"/>
      <c r="N16" s="21"/>
    </row>
    <row r="17" spans="1:14" ht="30" customHeight="1">
      <c r="A17" s="184"/>
      <c r="C17" s="40" t="s">
        <v>19</v>
      </c>
      <c r="D17" s="55" t="s">
        <v>20</v>
      </c>
      <c r="E17" s="240">
        <f>E18+E19</f>
        <v>47344799.199999996</v>
      </c>
      <c r="F17" s="240">
        <f>F18+F19</f>
        <v>6331544.9000000004</v>
      </c>
      <c r="G17" s="240">
        <f>E17-F17</f>
        <v>41013254.299999997</v>
      </c>
      <c r="H17" s="57" t="s">
        <v>21</v>
      </c>
      <c r="I17" s="51" t="s">
        <v>19</v>
      </c>
      <c r="J17" s="21"/>
      <c r="K17" s="21"/>
      <c r="L17" s="34"/>
      <c r="M17" s="21"/>
      <c r="N17" s="21"/>
    </row>
    <row r="18" spans="1:14" ht="30" customHeight="1">
      <c r="A18" s="184"/>
      <c r="C18" s="40" t="s">
        <v>224</v>
      </c>
      <c r="D18" s="45" t="s">
        <v>92</v>
      </c>
      <c r="E18" s="229">
        <v>38048389.299999997</v>
      </c>
      <c r="F18" s="229">
        <v>4031541.9</v>
      </c>
      <c r="G18" s="229">
        <f t="shared" si="0"/>
        <v>34016847.399999999</v>
      </c>
      <c r="H18" s="5" t="s">
        <v>91</v>
      </c>
      <c r="I18" s="42" t="s">
        <v>22</v>
      </c>
      <c r="K18" s="21"/>
      <c r="L18" s="34"/>
      <c r="M18" s="21"/>
      <c r="N18" s="21"/>
    </row>
    <row r="19" spans="1:14" ht="30" customHeight="1" thickBot="1">
      <c r="A19" s="184"/>
      <c r="C19" s="43" t="s">
        <v>225</v>
      </c>
      <c r="D19" s="56" t="s">
        <v>24</v>
      </c>
      <c r="E19" s="249">
        <v>9296409.9000000004</v>
      </c>
      <c r="F19" s="249">
        <v>2300003</v>
      </c>
      <c r="G19" s="229">
        <f t="shared" si="0"/>
        <v>6996406.9000000004</v>
      </c>
      <c r="H19" s="7" t="s">
        <v>72</v>
      </c>
      <c r="I19" s="44" t="s">
        <v>23</v>
      </c>
      <c r="K19" s="21"/>
      <c r="L19" s="34"/>
      <c r="M19" s="21"/>
    </row>
    <row r="20" spans="1:14" ht="21.75" customHeight="1">
      <c r="A20" s="184"/>
      <c r="C20" s="412" t="s">
        <v>26</v>
      </c>
      <c r="D20" s="412"/>
      <c r="E20" s="250">
        <f>E5+E7+E8+E9+E10+E11+E12+E13+E15+E16+E18+E19</f>
        <v>284593404.89999998</v>
      </c>
      <c r="F20" s="250">
        <f>F5+F7+F8+F9+F10+F11+F12+F13+F15+F16+F18+F19</f>
        <v>59957081.699999996</v>
      </c>
      <c r="G20" s="250">
        <f>G5+G7+G8+G9+G10+G11+G12+G13+G15+G16+G18+G19</f>
        <v>224636323.20000002</v>
      </c>
      <c r="H20" s="411" t="s">
        <v>27</v>
      </c>
      <c r="I20" s="411"/>
      <c r="K20" s="21"/>
      <c r="L20" s="34"/>
      <c r="M20" s="21"/>
    </row>
    <row r="21" spans="1:14" ht="21.75" customHeight="1">
      <c r="A21" s="184"/>
      <c r="C21" s="413" t="s">
        <v>73</v>
      </c>
      <c r="D21" s="413"/>
      <c r="E21" s="251"/>
      <c r="F21" s="247">
        <v>2970613.7</v>
      </c>
      <c r="G21" s="247">
        <v>2970613.7</v>
      </c>
      <c r="H21" s="414" t="s">
        <v>74</v>
      </c>
      <c r="I21" s="414"/>
      <c r="L21" s="34"/>
    </row>
    <row r="22" spans="1:14" ht="21.75" customHeight="1" thickBot="1">
      <c r="A22" s="184"/>
      <c r="C22" s="400" t="s">
        <v>75</v>
      </c>
      <c r="D22" s="400"/>
      <c r="E22" s="248">
        <f>E20</f>
        <v>284593404.89999998</v>
      </c>
      <c r="F22" s="248">
        <f>F20+F21</f>
        <v>62927695.399999999</v>
      </c>
      <c r="G22" s="248">
        <f>G20-F21</f>
        <v>221665709.50000003</v>
      </c>
      <c r="H22" s="410" t="s">
        <v>76</v>
      </c>
      <c r="I22" s="410"/>
      <c r="L22" s="34"/>
    </row>
    <row r="23" spans="1:14" ht="6.75" customHeight="1" thickTop="1">
      <c r="A23" s="184"/>
      <c r="C23" s="17"/>
      <c r="D23" s="17"/>
      <c r="E23" s="17"/>
      <c r="F23" s="17"/>
      <c r="G23" s="29"/>
      <c r="H23" s="17"/>
      <c r="I23" s="17"/>
      <c r="L23" s="34"/>
    </row>
    <row r="24" spans="1:14" ht="17.25">
      <c r="A24" s="185">
        <v>15</v>
      </c>
      <c r="C24" s="8"/>
      <c r="E24" s="21"/>
      <c r="F24" s="108"/>
      <c r="G24" s="21"/>
    </row>
    <row r="25" spans="1:14">
      <c r="C25" s="8"/>
      <c r="E25" s="21"/>
      <c r="F25" s="21"/>
      <c r="G25" s="21"/>
    </row>
    <row r="26" spans="1:14">
      <c r="C26" s="8"/>
      <c r="E26" s="21"/>
      <c r="F26" s="21"/>
      <c r="G26" s="21"/>
    </row>
    <row r="27" spans="1:14">
      <c r="C27" s="8"/>
      <c r="E27" s="21"/>
      <c r="F27" s="21"/>
      <c r="G27" s="21"/>
    </row>
    <row r="28" spans="1:14">
      <c r="G28" s="21"/>
    </row>
    <row r="29" spans="1:14">
      <c r="G29" s="21"/>
    </row>
    <row r="34" spans="4:8">
      <c r="F34" s="23"/>
      <c r="G34" s="23"/>
      <c r="H34" s="24"/>
    </row>
    <row r="35" spans="4:8" ht="15">
      <c r="D35" s="25"/>
      <c r="E35" s="4"/>
      <c r="F35" s="26"/>
      <c r="G35" s="19"/>
      <c r="H35" s="26"/>
    </row>
    <row r="36" spans="4:8" ht="15">
      <c r="D36" s="25"/>
      <c r="E36" s="318"/>
      <c r="F36" s="318"/>
      <c r="G36" s="318"/>
      <c r="H36" s="26"/>
    </row>
    <row r="37" spans="4:8" ht="15">
      <c r="D37" s="3"/>
      <c r="E37" s="4"/>
      <c r="F37" s="20"/>
      <c r="G37" s="19"/>
      <c r="H37" s="26"/>
    </row>
    <row r="38" spans="4:8" ht="15">
      <c r="D38" s="3"/>
      <c r="E38" s="4"/>
      <c r="F38" s="20"/>
      <c r="G38" s="19"/>
      <c r="H38" s="26"/>
    </row>
    <row r="39" spans="4:8" ht="15">
      <c r="D39" s="3"/>
      <c r="E39" s="4"/>
      <c r="F39" s="20"/>
      <c r="G39" s="19"/>
      <c r="H39" s="26"/>
    </row>
    <row r="40" spans="4:8" ht="15">
      <c r="D40" s="3"/>
      <c r="E40" s="4"/>
      <c r="F40" s="20"/>
      <c r="G40" s="19"/>
      <c r="H40" s="26"/>
    </row>
    <row r="41" spans="4:8" ht="15">
      <c r="D41" s="3"/>
      <c r="E41" s="4"/>
      <c r="F41" s="20"/>
      <c r="G41" s="19"/>
      <c r="H41" s="26"/>
    </row>
    <row r="42" spans="4:8" ht="15">
      <c r="D42" s="3"/>
      <c r="E42" s="4"/>
      <c r="F42" s="20"/>
      <c r="G42" s="19"/>
      <c r="H42" s="26"/>
    </row>
    <row r="43" spans="4:8" ht="15">
      <c r="D43" s="3"/>
      <c r="E43" s="4"/>
      <c r="F43" s="20"/>
      <c r="G43" s="19"/>
      <c r="H43" s="26"/>
    </row>
    <row r="44" spans="4:8" ht="15">
      <c r="D44" s="3"/>
      <c r="E44" s="4"/>
      <c r="F44" s="20"/>
      <c r="G44" s="19"/>
      <c r="H44" s="26"/>
    </row>
    <row r="45" spans="4:8" ht="15">
      <c r="D45" s="3"/>
      <c r="E45" s="4"/>
      <c r="F45" s="20"/>
      <c r="G45" s="19"/>
      <c r="H45" s="26"/>
    </row>
    <row r="46" spans="4:8" ht="15">
      <c r="D46" s="3"/>
      <c r="E46" s="4"/>
      <c r="F46" s="20"/>
      <c r="G46" s="19"/>
      <c r="H46" s="26"/>
    </row>
    <row r="47" spans="4:8" ht="15">
      <c r="D47" s="3"/>
      <c r="E47" s="4"/>
      <c r="F47" s="20"/>
      <c r="G47" s="19"/>
      <c r="H47" s="26"/>
    </row>
    <row r="48" spans="4:8" ht="15">
      <c r="D48" s="3"/>
      <c r="E48" s="4"/>
      <c r="F48" s="20"/>
      <c r="G48" s="19"/>
      <c r="H48" s="26"/>
    </row>
    <row r="49" spans="4:11" ht="15">
      <c r="D49" s="3"/>
      <c r="E49" s="4"/>
      <c r="F49" s="20"/>
      <c r="G49" s="19"/>
      <c r="H49" s="26"/>
    </row>
    <row r="50" spans="4:11" ht="15">
      <c r="D50" s="393"/>
      <c r="E50" s="393"/>
      <c r="F50" s="20"/>
      <c r="G50" s="20"/>
      <c r="H50" s="20"/>
      <c r="J50" s="22"/>
      <c r="K50" s="22"/>
    </row>
    <row r="51" spans="4:11" ht="15">
      <c r="D51" s="393"/>
      <c r="E51" s="393"/>
      <c r="F51" s="20"/>
      <c r="G51" s="20"/>
      <c r="H51" s="20"/>
    </row>
    <row r="52" spans="4:11" ht="15">
      <c r="D52" s="393"/>
      <c r="E52" s="393"/>
      <c r="F52" s="20"/>
      <c r="G52" s="20"/>
      <c r="H52" s="8"/>
    </row>
    <row r="54" spans="4:11">
      <c r="H54" s="8"/>
    </row>
    <row r="55" spans="4:11">
      <c r="F55" s="21"/>
      <c r="G55" s="21"/>
      <c r="H55" s="8"/>
    </row>
    <row r="56" spans="4:11">
      <c r="G56" s="8"/>
      <c r="H56" s="8"/>
    </row>
    <row r="57" spans="4:11">
      <c r="G57" s="8"/>
      <c r="H57" s="8"/>
    </row>
    <row r="59" spans="4:11">
      <c r="H59" s="8"/>
    </row>
    <row r="60" spans="4:11">
      <c r="H60" s="8"/>
    </row>
  </sheetData>
  <mergeCells count="16">
    <mergeCell ref="D51:E51"/>
    <mergeCell ref="D52:E52"/>
    <mergeCell ref="H22:I22"/>
    <mergeCell ref="H20:I20"/>
    <mergeCell ref="C22:D22"/>
    <mergeCell ref="C20:D20"/>
    <mergeCell ref="C21:D21"/>
    <mergeCell ref="H21:I21"/>
    <mergeCell ref="D50:E50"/>
    <mergeCell ref="A1:A9"/>
    <mergeCell ref="C1:I1"/>
    <mergeCell ref="C2:I2"/>
    <mergeCell ref="C3:C4"/>
    <mergeCell ref="D3:D4"/>
    <mergeCell ref="H3:H4"/>
    <mergeCell ref="I3:I4"/>
  </mergeCells>
  <phoneticPr fontId="2" type="noConversion"/>
  <printOptions horizontalCentered="1" verticalCentered="1"/>
  <pageMargins left="0.196850393700787" right="0.196850393700787" top="0.39" bottom="0.33" header="0.23" footer="0.25"/>
  <pageSetup paperSize="9" scale="8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I59"/>
  <sheetViews>
    <sheetView rightToLeft="1" view="pageBreakPreview" topLeftCell="A13" zoomScaleSheetLayoutView="100" workbookViewId="0">
      <selection activeCell="A29" sqref="A29"/>
    </sheetView>
  </sheetViews>
  <sheetFormatPr defaultRowHeight="12.75"/>
  <cols>
    <col min="1" max="1" width="5.7109375" style="6" customWidth="1"/>
    <col min="2" max="2" width="3.42578125" style="6" customWidth="1"/>
    <col min="3" max="3" width="6.7109375" style="6" customWidth="1"/>
    <col min="4" max="7" width="26" style="6" customWidth="1"/>
    <col min="8" max="8" width="38.7109375" style="6" customWidth="1"/>
    <col min="9" max="9" width="6.7109375" style="6" customWidth="1"/>
    <col min="10" max="16384" width="9.140625" style="6"/>
  </cols>
  <sheetData>
    <row r="1" spans="1:9" s="105" customFormat="1" ht="24" customHeight="1">
      <c r="A1" s="358" t="s">
        <v>217</v>
      </c>
      <c r="C1" s="356" t="s">
        <v>258</v>
      </c>
      <c r="D1" s="417"/>
      <c r="E1" s="417"/>
      <c r="F1" s="417"/>
      <c r="G1" s="417"/>
      <c r="H1" s="417"/>
      <c r="I1" s="417"/>
    </row>
    <row r="2" spans="1:9" s="105" customFormat="1" ht="39" customHeight="1" thickBot="1">
      <c r="A2" s="358"/>
      <c r="C2" s="357" t="s">
        <v>231</v>
      </c>
      <c r="D2" s="365"/>
      <c r="E2" s="365"/>
      <c r="F2" s="365"/>
      <c r="G2" s="365"/>
      <c r="H2" s="365"/>
      <c r="I2" s="365"/>
    </row>
    <row r="3" spans="1:9" ht="24.95" customHeight="1" thickTop="1">
      <c r="A3" s="358"/>
      <c r="C3" s="366" t="s">
        <v>45</v>
      </c>
      <c r="D3" s="366" t="s">
        <v>46</v>
      </c>
      <c r="E3" s="225" t="s">
        <v>34</v>
      </c>
      <c r="F3" s="225" t="s">
        <v>36</v>
      </c>
      <c r="G3" s="225" t="s">
        <v>66</v>
      </c>
      <c r="H3" s="366" t="s">
        <v>47</v>
      </c>
      <c r="I3" s="366" t="s">
        <v>48</v>
      </c>
    </row>
    <row r="4" spans="1:9" ht="24.95" customHeight="1" thickBot="1">
      <c r="A4" s="358"/>
      <c r="C4" s="367"/>
      <c r="D4" s="367"/>
      <c r="E4" s="226" t="s">
        <v>33</v>
      </c>
      <c r="F4" s="226" t="s">
        <v>70</v>
      </c>
      <c r="G4" s="226" t="s">
        <v>69</v>
      </c>
      <c r="H4" s="367"/>
      <c r="I4" s="367"/>
    </row>
    <row r="5" spans="1:9" ht="28.5" customHeight="1">
      <c r="A5" s="358"/>
      <c r="C5" s="48">
        <v>1</v>
      </c>
      <c r="D5" s="54" t="s">
        <v>49</v>
      </c>
      <c r="E5" s="238">
        <v>2273985.6</v>
      </c>
      <c r="F5" s="238">
        <v>4324399.2</v>
      </c>
      <c r="G5" s="244">
        <f>E5+F5</f>
        <v>6598384.8000000007</v>
      </c>
      <c r="H5" s="12" t="s">
        <v>50</v>
      </c>
      <c r="I5" s="49">
        <v>1</v>
      </c>
    </row>
    <row r="6" spans="1:9" ht="28.5" customHeight="1">
      <c r="A6" s="358"/>
      <c r="C6" s="41">
        <v>2</v>
      </c>
      <c r="D6" s="45" t="s">
        <v>51</v>
      </c>
      <c r="E6" s="240">
        <f>E7+E8</f>
        <v>3286385.1999999997</v>
      </c>
      <c r="F6" s="240">
        <f>F7+F8</f>
        <v>85778672.5</v>
      </c>
      <c r="G6" s="240">
        <f>G7+G8</f>
        <v>89065057.700000003</v>
      </c>
      <c r="H6" s="5" t="s">
        <v>52</v>
      </c>
      <c r="I6" s="42">
        <v>2</v>
      </c>
    </row>
    <row r="7" spans="1:9" ht="28.5" customHeight="1">
      <c r="A7" s="358"/>
      <c r="C7" s="40" t="s">
        <v>221</v>
      </c>
      <c r="D7" s="45" t="s">
        <v>54</v>
      </c>
      <c r="E7" s="240">
        <v>3217983.4</v>
      </c>
      <c r="F7" s="240">
        <v>85446829.599999994</v>
      </c>
      <c r="G7" s="240">
        <f>E7+F7</f>
        <v>88664813</v>
      </c>
      <c r="H7" s="5" t="s">
        <v>71</v>
      </c>
      <c r="I7" s="42" t="s">
        <v>53</v>
      </c>
    </row>
    <row r="8" spans="1:9" ht="28.5" customHeight="1">
      <c r="A8" s="358"/>
      <c r="C8" s="40" t="s">
        <v>56</v>
      </c>
      <c r="D8" s="45" t="s">
        <v>57</v>
      </c>
      <c r="E8" s="229">
        <v>68401.8</v>
      </c>
      <c r="F8" s="229">
        <v>331842.90000000002</v>
      </c>
      <c r="G8" s="229">
        <f t="shared" ref="G8:G19" si="0">E8+F8</f>
        <v>400244.7</v>
      </c>
      <c r="H8" s="5" t="s">
        <v>58</v>
      </c>
      <c r="I8" s="42" t="s">
        <v>56</v>
      </c>
    </row>
    <row r="9" spans="1:9" s="150" customFormat="1" ht="28.5" customHeight="1">
      <c r="A9" s="358"/>
      <c r="C9" s="38" t="s">
        <v>59</v>
      </c>
      <c r="D9" s="14" t="s">
        <v>60</v>
      </c>
      <c r="E9" s="229">
        <v>1977969.9</v>
      </c>
      <c r="F9" s="229">
        <v>2841926.5</v>
      </c>
      <c r="G9" s="229">
        <f t="shared" si="0"/>
        <v>4819896.4000000004</v>
      </c>
      <c r="H9" s="5" t="s">
        <v>61</v>
      </c>
      <c r="I9" s="37" t="s">
        <v>59</v>
      </c>
    </row>
    <row r="10" spans="1:9" ht="28.5" customHeight="1">
      <c r="A10" s="358"/>
      <c r="C10" s="40" t="s">
        <v>62</v>
      </c>
      <c r="D10" s="45" t="s">
        <v>63</v>
      </c>
      <c r="E10" s="229">
        <v>1718831.6</v>
      </c>
      <c r="F10" s="229">
        <v>4767574.5</v>
      </c>
      <c r="G10" s="229">
        <f>E10+F10</f>
        <v>6486406.0999999996</v>
      </c>
      <c r="H10" s="5" t="s">
        <v>0</v>
      </c>
      <c r="I10" s="42" t="s">
        <v>62</v>
      </c>
    </row>
    <row r="11" spans="1:9" s="150" customFormat="1" ht="28.5" customHeight="1">
      <c r="A11" s="194"/>
      <c r="C11" s="38" t="s">
        <v>1</v>
      </c>
      <c r="D11" s="14" t="s">
        <v>2</v>
      </c>
      <c r="E11" s="229">
        <v>5590465.5999999996</v>
      </c>
      <c r="F11" s="229">
        <v>7818476.7999999998</v>
      </c>
      <c r="G11" s="229">
        <f t="shared" si="0"/>
        <v>13408942.399999999</v>
      </c>
      <c r="H11" s="5" t="s">
        <v>3</v>
      </c>
      <c r="I11" s="37" t="s">
        <v>1</v>
      </c>
    </row>
    <row r="12" spans="1:9" s="150" customFormat="1" ht="28.5" customHeight="1">
      <c r="A12" s="194"/>
      <c r="C12" s="38" t="s">
        <v>4</v>
      </c>
      <c r="D12" s="14" t="s">
        <v>5</v>
      </c>
      <c r="E12" s="229">
        <v>12819007.1</v>
      </c>
      <c r="F12" s="229">
        <v>11162778.699999999</v>
      </c>
      <c r="G12" s="229">
        <f t="shared" si="0"/>
        <v>23981785.799999997</v>
      </c>
      <c r="H12" s="5" t="s">
        <v>6</v>
      </c>
      <c r="I12" s="37" t="s">
        <v>4</v>
      </c>
    </row>
    <row r="13" spans="1:9" s="150" customFormat="1" ht="28.5" customHeight="1">
      <c r="A13" s="194"/>
      <c r="C13" s="38" t="s">
        <v>7</v>
      </c>
      <c r="D13" s="14" t="s">
        <v>8</v>
      </c>
      <c r="E13" s="229">
        <v>3420832.5</v>
      </c>
      <c r="F13" s="229">
        <v>16651147.6</v>
      </c>
      <c r="G13" s="229">
        <f t="shared" si="0"/>
        <v>20071980.100000001</v>
      </c>
      <c r="H13" s="147" t="s">
        <v>9</v>
      </c>
      <c r="I13" s="37" t="s">
        <v>7</v>
      </c>
    </row>
    <row r="14" spans="1:9" ht="28.5" customHeight="1">
      <c r="A14" s="184"/>
      <c r="C14" s="40" t="s">
        <v>10</v>
      </c>
      <c r="D14" s="45" t="s">
        <v>11</v>
      </c>
      <c r="E14" s="229">
        <f>E15+E16</f>
        <v>496670.2</v>
      </c>
      <c r="F14" s="229">
        <f>F15+F16</f>
        <v>18693945.399999999</v>
      </c>
      <c r="G14" s="229">
        <f>E14+F14</f>
        <v>19190615.599999998</v>
      </c>
      <c r="H14" s="59" t="s">
        <v>12</v>
      </c>
      <c r="I14" s="42" t="s">
        <v>10</v>
      </c>
    </row>
    <row r="15" spans="1:9" s="150" customFormat="1" ht="28.5" customHeight="1">
      <c r="A15" s="194"/>
      <c r="C15" s="38" t="s">
        <v>222</v>
      </c>
      <c r="D15" s="14" t="s">
        <v>14</v>
      </c>
      <c r="E15" s="229">
        <v>489893.2</v>
      </c>
      <c r="F15" s="229">
        <v>3647980.3</v>
      </c>
      <c r="G15" s="229">
        <f t="shared" si="0"/>
        <v>4137873.5</v>
      </c>
      <c r="H15" s="5" t="s">
        <v>15</v>
      </c>
      <c r="I15" s="37" t="s">
        <v>13</v>
      </c>
    </row>
    <row r="16" spans="1:9" ht="28.5" customHeight="1">
      <c r="A16" s="184"/>
      <c r="C16" s="40" t="s">
        <v>223</v>
      </c>
      <c r="D16" s="45" t="s">
        <v>17</v>
      </c>
      <c r="E16" s="229">
        <v>6777</v>
      </c>
      <c r="F16" s="229">
        <v>15045965.1</v>
      </c>
      <c r="G16" s="229">
        <f>E16+F16</f>
        <v>15052742.1</v>
      </c>
      <c r="H16" s="5" t="s">
        <v>18</v>
      </c>
      <c r="I16" s="42" t="s">
        <v>16</v>
      </c>
    </row>
    <row r="17" spans="1:9" ht="28.5" customHeight="1">
      <c r="A17" s="184"/>
      <c r="C17" s="40" t="s">
        <v>19</v>
      </c>
      <c r="D17" s="45" t="s">
        <v>20</v>
      </c>
      <c r="E17" s="229">
        <f>E18+E19</f>
        <v>35032919.700000003</v>
      </c>
      <c r="F17" s="229">
        <f>F18+F19</f>
        <v>5980334.6000000006</v>
      </c>
      <c r="G17" s="229">
        <f>E17+F17</f>
        <v>41013254.300000004</v>
      </c>
      <c r="H17" s="5" t="s">
        <v>21</v>
      </c>
      <c r="I17" s="42" t="s">
        <v>19</v>
      </c>
    </row>
    <row r="18" spans="1:9" ht="28.5" customHeight="1">
      <c r="A18" s="184"/>
      <c r="C18" s="40" t="s">
        <v>224</v>
      </c>
      <c r="D18" s="45" t="s">
        <v>92</v>
      </c>
      <c r="E18" s="229">
        <v>32866519.199999999</v>
      </c>
      <c r="F18" s="229">
        <v>1150328.2</v>
      </c>
      <c r="G18" s="229">
        <f>E18+F18</f>
        <v>34016847.399999999</v>
      </c>
      <c r="H18" s="5" t="s">
        <v>91</v>
      </c>
      <c r="I18" s="42" t="s">
        <v>22</v>
      </c>
    </row>
    <row r="19" spans="1:9" ht="28.5" customHeight="1" thickBot="1">
      <c r="A19" s="184"/>
      <c r="C19" s="43" t="s">
        <v>225</v>
      </c>
      <c r="D19" s="46" t="s">
        <v>24</v>
      </c>
      <c r="E19" s="230">
        <v>2166400.5</v>
      </c>
      <c r="F19" s="230">
        <v>4830006.4000000004</v>
      </c>
      <c r="G19" s="229">
        <f t="shared" si="0"/>
        <v>6996406.9000000004</v>
      </c>
      <c r="H19" s="15" t="s">
        <v>72</v>
      </c>
      <c r="I19" s="44" t="s">
        <v>23</v>
      </c>
    </row>
    <row r="20" spans="1:9" ht="27.75" customHeight="1" thickBot="1">
      <c r="A20" s="184"/>
      <c r="C20" s="405" t="s">
        <v>26</v>
      </c>
      <c r="D20" s="405"/>
      <c r="E20" s="245">
        <f>E5+E7+E8+E9+E10+E11+E12+E13+E15+E16+E18+E19</f>
        <v>66617067.399999999</v>
      </c>
      <c r="F20" s="245">
        <f>F5+F7+F8+F9+F10+F11+F12+F13+F15+F16+F18+F19</f>
        <v>158019255.79999998</v>
      </c>
      <c r="G20" s="245">
        <f>G5+G7+G8+G9+G10+G11+G12+G13+G15+G16+G18+G19</f>
        <v>224636323.19999999</v>
      </c>
      <c r="H20" s="416" t="s">
        <v>27</v>
      </c>
      <c r="I20" s="416"/>
    </row>
    <row r="21" spans="1:9" ht="27.75" customHeight="1">
      <c r="A21" s="184"/>
      <c r="C21" s="407" t="s">
        <v>95</v>
      </c>
      <c r="D21" s="407"/>
      <c r="E21" s="246"/>
      <c r="F21" s="156">
        <v>2970613.7</v>
      </c>
      <c r="G21" s="156">
        <v>2970613.7</v>
      </c>
      <c r="H21" s="408" t="s">
        <v>184</v>
      </c>
      <c r="I21" s="408"/>
    </row>
    <row r="22" spans="1:9" ht="27.75" customHeight="1" thickBot="1">
      <c r="A22" s="184"/>
      <c r="C22" s="400" t="s">
        <v>75</v>
      </c>
      <c r="D22" s="400"/>
      <c r="E22" s="248">
        <f>E20</f>
        <v>66617067.399999999</v>
      </c>
      <c r="F22" s="248">
        <f>F20-F21</f>
        <v>155048642.09999999</v>
      </c>
      <c r="G22" s="247">
        <f>G20-G21</f>
        <v>221665709.5</v>
      </c>
      <c r="H22" s="410" t="s">
        <v>76</v>
      </c>
      <c r="I22" s="410"/>
    </row>
    <row r="23" spans="1:9" ht="13.5" thickTop="1">
      <c r="A23" s="184"/>
      <c r="C23" s="17"/>
      <c r="D23" s="17"/>
      <c r="E23" s="30"/>
      <c r="F23" s="30"/>
      <c r="G23" s="30"/>
      <c r="H23" s="17"/>
      <c r="I23" s="17"/>
    </row>
    <row r="24" spans="1:9" ht="17.25">
      <c r="A24" s="185">
        <v>16</v>
      </c>
      <c r="C24" s="8"/>
      <c r="E24" s="121"/>
      <c r="F24" s="70"/>
      <c r="G24" s="168"/>
    </row>
    <row r="25" spans="1:9">
      <c r="A25" s="184"/>
      <c r="C25" s="8"/>
      <c r="E25" s="70"/>
      <c r="F25" s="70"/>
      <c r="G25" s="168"/>
    </row>
    <row r="26" spans="1:9" ht="15">
      <c r="A26" s="184"/>
      <c r="C26" s="8"/>
      <c r="E26" s="78"/>
      <c r="F26" s="70"/>
      <c r="G26" s="26"/>
    </row>
    <row r="27" spans="1:9">
      <c r="A27" s="184"/>
      <c r="C27" s="8"/>
      <c r="G27" s="34"/>
    </row>
    <row r="28" spans="1:9">
      <c r="A28" s="184"/>
      <c r="G28" s="34"/>
    </row>
    <row r="29" spans="1:9">
      <c r="A29" s="184"/>
    </row>
    <row r="30" spans="1:9">
      <c r="A30" s="184"/>
      <c r="E30" s="21"/>
      <c r="F30" s="21"/>
    </row>
    <row r="31" spans="1:9">
      <c r="A31" s="184"/>
      <c r="G31" s="21"/>
    </row>
    <row r="36" spans="4:9">
      <c r="F36" s="21"/>
    </row>
    <row r="39" spans="4:9">
      <c r="F39" s="21"/>
    </row>
    <row r="48" spans="4:9" ht="21.75" customHeight="1">
      <c r="D48" s="27"/>
      <c r="E48" s="27"/>
      <c r="F48" s="27"/>
      <c r="G48" s="27"/>
      <c r="H48" s="27"/>
      <c r="I48" s="27"/>
    </row>
    <row r="49" spans="4:9" ht="15.75">
      <c r="D49" s="28"/>
      <c r="E49" s="28"/>
      <c r="F49" s="28"/>
      <c r="G49" s="28"/>
      <c r="H49" s="28"/>
      <c r="I49" s="28"/>
    </row>
    <row r="59" spans="4:9">
      <c r="D59" s="415">
        <v>11</v>
      </c>
      <c r="E59" s="415"/>
      <c r="F59" s="415"/>
      <c r="G59" s="415"/>
      <c r="H59" s="415"/>
      <c r="I59" s="415"/>
    </row>
  </sheetData>
  <mergeCells count="14">
    <mergeCell ref="A1:A10"/>
    <mergeCell ref="D59:I59"/>
    <mergeCell ref="H22:I22"/>
    <mergeCell ref="H20:I20"/>
    <mergeCell ref="C22:D22"/>
    <mergeCell ref="C20:D20"/>
    <mergeCell ref="C21:D21"/>
    <mergeCell ref="H21:I21"/>
    <mergeCell ref="H3:H4"/>
    <mergeCell ref="I3:I4"/>
    <mergeCell ref="C1:I1"/>
    <mergeCell ref="C2:I2"/>
    <mergeCell ref="C3:C4"/>
    <mergeCell ref="D3:D4"/>
  </mergeCells>
  <phoneticPr fontId="2" type="noConversion"/>
  <printOptions horizontalCentered="1" verticalCentered="1"/>
  <pageMargins left="0.196850393700787" right="0.28000000000000003" top="0.42" bottom="0.36" header="0.25" footer="0.2"/>
  <pageSetup paperSize="9" scale="8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Q58"/>
  <sheetViews>
    <sheetView rightToLeft="1" view="pageBreakPreview" topLeftCell="A16" zoomScaleSheetLayoutView="100" workbookViewId="0">
      <selection activeCell="A29" sqref="A29"/>
    </sheetView>
  </sheetViews>
  <sheetFormatPr defaultRowHeight="12.75"/>
  <cols>
    <col min="1" max="1" width="6.7109375" style="6" customWidth="1"/>
    <col min="2" max="2" width="4" style="6" customWidth="1"/>
    <col min="3" max="3" width="6.7109375" style="6" customWidth="1"/>
    <col min="4" max="4" width="26.85546875" style="6" customWidth="1"/>
    <col min="5" max="7" width="24.7109375" style="6" customWidth="1"/>
    <col min="8" max="8" width="37" style="6" customWidth="1"/>
    <col min="9" max="9" width="6.7109375" style="6" customWidth="1"/>
    <col min="10" max="10" width="11.140625" style="6" bestFit="1" customWidth="1"/>
    <col min="11" max="11" width="10.5703125" style="6" bestFit="1" customWidth="1"/>
    <col min="12" max="12" width="12.5703125" style="6" bestFit="1" customWidth="1"/>
    <col min="13" max="13" width="9.5703125" style="6" bestFit="1" customWidth="1"/>
    <col min="14" max="15" width="9.140625" style="6"/>
    <col min="16" max="16" width="12" style="6" customWidth="1"/>
    <col min="17" max="17" width="11.5703125" style="6" customWidth="1"/>
    <col min="18" max="16384" width="9.140625" style="6"/>
  </cols>
  <sheetData>
    <row r="1" spans="1:17" s="32" customFormat="1" ht="24" customHeight="1">
      <c r="A1" s="358" t="s">
        <v>217</v>
      </c>
      <c r="C1" s="385" t="s">
        <v>259</v>
      </c>
      <c r="D1" s="385"/>
      <c r="E1" s="385"/>
      <c r="F1" s="385"/>
      <c r="G1" s="385"/>
      <c r="H1" s="385"/>
      <c r="I1" s="385"/>
      <c r="J1" s="94"/>
    </row>
    <row r="2" spans="1:17" s="32" customFormat="1" ht="39" customHeight="1" thickBot="1">
      <c r="A2" s="358"/>
      <c r="C2" s="386" t="s">
        <v>230</v>
      </c>
      <c r="D2" s="386"/>
      <c r="E2" s="386"/>
      <c r="F2" s="386"/>
      <c r="G2" s="386"/>
      <c r="H2" s="386"/>
      <c r="I2" s="386"/>
      <c r="J2" s="103"/>
    </row>
    <row r="3" spans="1:17" ht="24.95" customHeight="1" thickTop="1">
      <c r="A3" s="358"/>
      <c r="C3" s="366" t="s">
        <v>45</v>
      </c>
      <c r="D3" s="366" t="s">
        <v>46</v>
      </c>
      <c r="E3" s="225" t="s">
        <v>86</v>
      </c>
      <c r="F3" s="225" t="s">
        <v>172</v>
      </c>
      <c r="G3" s="225" t="s">
        <v>84</v>
      </c>
      <c r="H3" s="366" t="s">
        <v>47</v>
      </c>
      <c r="I3" s="366" t="s">
        <v>48</v>
      </c>
    </row>
    <row r="4" spans="1:17" ht="24.95" customHeight="1" thickBot="1">
      <c r="A4" s="358"/>
      <c r="C4" s="367"/>
      <c r="D4" s="367"/>
      <c r="E4" s="226" t="s">
        <v>87</v>
      </c>
      <c r="F4" s="226" t="s">
        <v>88</v>
      </c>
      <c r="G4" s="226" t="s">
        <v>80</v>
      </c>
      <c r="H4" s="367"/>
      <c r="I4" s="367"/>
    </row>
    <row r="5" spans="1:17" ht="28.5" customHeight="1">
      <c r="A5" s="358"/>
      <c r="C5" s="48">
        <v>1</v>
      </c>
      <c r="D5" s="54" t="s">
        <v>49</v>
      </c>
      <c r="E5" s="238">
        <v>76547.399999999994</v>
      </c>
      <c r="F5" s="238">
        <v>6521837.4000000004</v>
      </c>
      <c r="G5" s="238">
        <f>E5+F5</f>
        <v>6598384.8000000007</v>
      </c>
      <c r="H5" s="12" t="s">
        <v>50</v>
      </c>
      <c r="I5" s="49">
        <v>1</v>
      </c>
      <c r="J5" s="175"/>
      <c r="K5" s="21"/>
      <c r="L5" s="34"/>
    </row>
    <row r="6" spans="1:17" ht="28.5" customHeight="1">
      <c r="A6" s="358"/>
      <c r="C6" s="13">
        <v>2</v>
      </c>
      <c r="D6" s="14" t="s">
        <v>51</v>
      </c>
      <c r="E6" s="240">
        <f>E7+E8</f>
        <v>88664813</v>
      </c>
      <c r="F6" s="240">
        <f>F8</f>
        <v>400244.7</v>
      </c>
      <c r="G6" s="240">
        <f>G7+G8</f>
        <v>89065057.700000003</v>
      </c>
      <c r="H6" s="5" t="s">
        <v>52</v>
      </c>
      <c r="I6" s="37">
        <v>2</v>
      </c>
      <c r="J6" s="175"/>
      <c r="K6" s="21"/>
      <c r="L6" s="34"/>
    </row>
    <row r="7" spans="1:17" ht="28.5" customHeight="1">
      <c r="A7" s="358"/>
      <c r="C7" s="40" t="s">
        <v>221</v>
      </c>
      <c r="D7" s="45" t="s">
        <v>54</v>
      </c>
      <c r="E7" s="240">
        <v>88664813</v>
      </c>
      <c r="F7" s="240">
        <v>0</v>
      </c>
      <c r="G7" s="240">
        <f>E7</f>
        <v>88664813</v>
      </c>
      <c r="H7" s="5" t="s">
        <v>71</v>
      </c>
      <c r="I7" s="42" t="s">
        <v>53</v>
      </c>
      <c r="J7" s="175"/>
      <c r="K7" s="21"/>
      <c r="L7" s="34"/>
    </row>
    <row r="8" spans="1:17" ht="28.5" customHeight="1">
      <c r="A8" s="358"/>
      <c r="C8" s="40" t="s">
        <v>56</v>
      </c>
      <c r="D8" s="45" t="s">
        <v>57</v>
      </c>
      <c r="E8" s="240">
        <v>0</v>
      </c>
      <c r="F8" s="240">
        <v>400244.7</v>
      </c>
      <c r="G8" s="240">
        <f t="shared" ref="G8:G10" si="0">E8+F8</f>
        <v>400244.7</v>
      </c>
      <c r="H8" s="5" t="s">
        <v>58</v>
      </c>
      <c r="I8" s="42" t="s">
        <v>56</v>
      </c>
      <c r="J8" s="175"/>
      <c r="K8" s="21"/>
      <c r="L8" s="34"/>
    </row>
    <row r="9" spans="1:17" s="150" customFormat="1" ht="28.5" customHeight="1">
      <c r="A9" s="358"/>
      <c r="C9" s="38" t="s">
        <v>59</v>
      </c>
      <c r="D9" s="14" t="s">
        <v>60</v>
      </c>
      <c r="E9" s="229">
        <v>1814978.6</v>
      </c>
      <c r="F9" s="229">
        <v>3004917.8</v>
      </c>
      <c r="G9" s="229">
        <f>E9+F9</f>
        <v>4819896.4000000004</v>
      </c>
      <c r="H9" s="5" t="s">
        <v>61</v>
      </c>
      <c r="I9" s="37" t="s">
        <v>59</v>
      </c>
      <c r="J9" s="175"/>
      <c r="K9" s="132"/>
      <c r="L9" s="34"/>
      <c r="M9" s="198"/>
    </row>
    <row r="10" spans="1:17" ht="28.5" customHeight="1">
      <c r="A10" s="358"/>
      <c r="C10" s="40" t="s">
        <v>62</v>
      </c>
      <c r="D10" s="45" t="s">
        <v>63</v>
      </c>
      <c r="E10" s="229">
        <v>5379544.4000000004</v>
      </c>
      <c r="F10" s="229">
        <v>1106861.7</v>
      </c>
      <c r="G10" s="229">
        <f t="shared" si="0"/>
        <v>6486406.1000000006</v>
      </c>
      <c r="H10" s="5" t="s">
        <v>0</v>
      </c>
      <c r="I10" s="42" t="s">
        <v>62</v>
      </c>
      <c r="J10" s="175"/>
      <c r="K10" s="21"/>
      <c r="L10" s="34"/>
      <c r="M10" s="34"/>
    </row>
    <row r="11" spans="1:17" s="150" customFormat="1" ht="28.5" customHeight="1">
      <c r="A11" s="194"/>
      <c r="C11" s="38" t="s">
        <v>1</v>
      </c>
      <c r="D11" s="14" t="s">
        <v>2</v>
      </c>
      <c r="E11" s="229">
        <v>421152.7</v>
      </c>
      <c r="F11" s="229">
        <v>12987789.699999999</v>
      </c>
      <c r="G11" s="229">
        <f>E11+F11</f>
        <v>13408942.399999999</v>
      </c>
      <c r="H11" s="5" t="s">
        <v>3</v>
      </c>
      <c r="I11" s="37" t="s">
        <v>1</v>
      </c>
      <c r="J11" s="175"/>
      <c r="K11" s="132"/>
      <c r="L11" s="34"/>
      <c r="M11" s="198"/>
      <c r="O11" s="152"/>
      <c r="P11" s="152"/>
      <c r="Q11" s="152"/>
    </row>
    <row r="12" spans="1:17" s="150" customFormat="1" ht="28.5" customHeight="1">
      <c r="A12" s="194"/>
      <c r="C12" s="38" t="s">
        <v>4</v>
      </c>
      <c r="D12" s="14" t="s">
        <v>5</v>
      </c>
      <c r="E12" s="229">
        <v>1510890.1</v>
      </c>
      <c r="F12" s="229">
        <v>22470895.699999999</v>
      </c>
      <c r="G12" s="229">
        <f>E12+F12</f>
        <v>23981785.800000001</v>
      </c>
      <c r="H12" s="5" t="s">
        <v>6</v>
      </c>
      <c r="I12" s="37" t="s">
        <v>4</v>
      </c>
      <c r="J12" s="175"/>
      <c r="K12" s="132"/>
      <c r="L12" s="34"/>
      <c r="M12" s="198"/>
      <c r="O12" s="201"/>
      <c r="P12" s="201"/>
      <c r="Q12" s="201"/>
    </row>
    <row r="13" spans="1:17" s="150" customFormat="1" ht="28.5" customHeight="1">
      <c r="A13" s="194"/>
      <c r="C13" s="38" t="s">
        <v>7</v>
      </c>
      <c r="D13" s="14" t="s">
        <v>8</v>
      </c>
      <c r="E13" s="229">
        <v>2694834.5</v>
      </c>
      <c r="F13" s="229">
        <v>17377145.600000001</v>
      </c>
      <c r="G13" s="229">
        <f>E13+F13</f>
        <v>20071980.100000001</v>
      </c>
      <c r="H13" s="147" t="s">
        <v>9</v>
      </c>
      <c r="I13" s="37" t="s">
        <v>7</v>
      </c>
      <c r="J13" s="175"/>
      <c r="K13" s="132"/>
      <c r="L13" s="34"/>
    </row>
    <row r="14" spans="1:17" ht="28.5" customHeight="1">
      <c r="A14" s="184"/>
      <c r="C14" s="38" t="s">
        <v>10</v>
      </c>
      <c r="D14" s="14" t="s">
        <v>11</v>
      </c>
      <c r="E14" s="229">
        <f>E15</f>
        <v>3340235.2</v>
      </c>
      <c r="F14" s="229">
        <f>F15+F16</f>
        <v>15850380.4</v>
      </c>
      <c r="G14" s="229">
        <f>G15+G16</f>
        <v>19190615.600000001</v>
      </c>
      <c r="H14" s="47" t="s">
        <v>12</v>
      </c>
      <c r="I14" s="37" t="s">
        <v>10</v>
      </c>
      <c r="J14" s="175"/>
      <c r="K14" s="21"/>
      <c r="L14" s="34"/>
    </row>
    <row r="15" spans="1:17" s="150" customFormat="1" ht="28.5" customHeight="1">
      <c r="A15" s="194"/>
      <c r="C15" s="38" t="s">
        <v>222</v>
      </c>
      <c r="D15" s="14" t="s">
        <v>14</v>
      </c>
      <c r="E15" s="229">
        <v>3340235.2</v>
      </c>
      <c r="F15" s="229">
        <v>797638.3</v>
      </c>
      <c r="G15" s="229">
        <f>E15+F15</f>
        <v>4137873.5</v>
      </c>
      <c r="H15" s="5" t="s">
        <v>15</v>
      </c>
      <c r="I15" s="37" t="s">
        <v>13</v>
      </c>
      <c r="J15" s="175"/>
      <c r="K15" s="132"/>
      <c r="L15" s="34"/>
    </row>
    <row r="16" spans="1:17" ht="28.5" customHeight="1">
      <c r="A16" s="184"/>
      <c r="C16" s="40" t="s">
        <v>223</v>
      </c>
      <c r="D16" s="45" t="s">
        <v>17</v>
      </c>
      <c r="E16" s="229">
        <v>0</v>
      </c>
      <c r="F16" s="229">
        <v>15052742.1</v>
      </c>
      <c r="G16" s="229">
        <f>F16</f>
        <v>15052742.1</v>
      </c>
      <c r="H16" s="5" t="s">
        <v>18</v>
      </c>
      <c r="I16" s="42" t="s">
        <v>16</v>
      </c>
      <c r="J16" s="175"/>
      <c r="K16" s="21"/>
      <c r="L16" s="34"/>
    </row>
    <row r="17" spans="1:12" ht="28.5" customHeight="1">
      <c r="A17" s="184"/>
      <c r="C17" s="38" t="s">
        <v>19</v>
      </c>
      <c r="D17" s="14" t="s">
        <v>20</v>
      </c>
      <c r="E17" s="229">
        <f>E18+E19</f>
        <v>34016847.399999999</v>
      </c>
      <c r="F17" s="229">
        <f>F18+F19</f>
        <v>6996406.9000000004</v>
      </c>
      <c r="G17" s="229">
        <f>G18+G19</f>
        <v>41013254.299999997</v>
      </c>
      <c r="H17" s="5" t="s">
        <v>21</v>
      </c>
      <c r="I17" s="37" t="s">
        <v>19</v>
      </c>
      <c r="J17" s="175"/>
      <c r="K17" s="21"/>
      <c r="L17" s="34"/>
    </row>
    <row r="18" spans="1:12" ht="28.5" customHeight="1">
      <c r="A18" s="184"/>
      <c r="C18" s="40" t="s">
        <v>224</v>
      </c>
      <c r="D18" s="45" t="s">
        <v>92</v>
      </c>
      <c r="E18" s="229">
        <v>34016847.399999999</v>
      </c>
      <c r="F18" s="229">
        <v>0</v>
      </c>
      <c r="G18" s="229">
        <f>E18</f>
        <v>34016847.399999999</v>
      </c>
      <c r="H18" s="5" t="s">
        <v>91</v>
      </c>
      <c r="I18" s="42" t="s">
        <v>22</v>
      </c>
      <c r="J18" s="175"/>
      <c r="K18" s="21"/>
      <c r="L18" s="34"/>
    </row>
    <row r="19" spans="1:12" ht="28.5" customHeight="1" thickBot="1">
      <c r="A19" s="184"/>
      <c r="C19" s="43" t="s">
        <v>225</v>
      </c>
      <c r="D19" s="46" t="s">
        <v>24</v>
      </c>
      <c r="E19" s="229">
        <v>0</v>
      </c>
      <c r="F19" s="230">
        <v>6996406.9000000004</v>
      </c>
      <c r="G19" s="229">
        <f>F19</f>
        <v>6996406.9000000004</v>
      </c>
      <c r="H19" s="15" t="s">
        <v>72</v>
      </c>
      <c r="I19" s="44" t="s">
        <v>23</v>
      </c>
      <c r="J19" s="175"/>
      <c r="K19" s="21"/>
      <c r="L19" s="34"/>
    </row>
    <row r="20" spans="1:12" ht="28.5" customHeight="1" thickBot="1">
      <c r="A20" s="184"/>
      <c r="C20" s="412" t="s">
        <v>26</v>
      </c>
      <c r="D20" s="412"/>
      <c r="E20" s="231">
        <f>E5+E7+E8+E9+E10+E11+E12+E13+E15+E18</f>
        <v>137919843.30000001</v>
      </c>
      <c r="F20" s="231">
        <f>F5+F8+F9+F10+F11+F12+F13+F15+F16+F19</f>
        <v>86716479.900000006</v>
      </c>
      <c r="G20" s="231">
        <f>G5+G7+G8+G9+G10+G11+G12+G13+G15+G16+G18+G19</f>
        <v>224636323.20000002</v>
      </c>
      <c r="H20" s="411" t="s">
        <v>27</v>
      </c>
      <c r="I20" s="411"/>
      <c r="J20" s="175"/>
      <c r="K20" s="21"/>
      <c r="L20" s="34"/>
    </row>
    <row r="21" spans="1:12" ht="18.75" thickTop="1">
      <c r="A21" s="184"/>
      <c r="C21" s="17"/>
      <c r="D21" s="71"/>
      <c r="E21" s="93"/>
      <c r="F21" s="122"/>
      <c r="G21" s="122"/>
      <c r="H21" s="31"/>
      <c r="I21" s="17"/>
      <c r="L21" s="34"/>
    </row>
    <row r="22" spans="1:12" ht="18">
      <c r="A22" s="192">
        <v>17</v>
      </c>
      <c r="C22" s="8"/>
      <c r="D22" s="72"/>
      <c r="E22" s="74"/>
      <c r="F22" s="74"/>
      <c r="G22" s="73"/>
      <c r="H22" s="32"/>
      <c r="L22" s="34"/>
    </row>
    <row r="23" spans="1:12" ht="18">
      <c r="C23" s="8"/>
      <c r="D23" s="72"/>
      <c r="E23" s="74"/>
      <c r="F23" s="74"/>
      <c r="G23" s="74"/>
      <c r="H23" s="32"/>
    </row>
    <row r="24" spans="1:12" ht="18">
      <c r="C24" s="8"/>
      <c r="D24" s="72"/>
      <c r="E24" s="74"/>
      <c r="F24" s="74"/>
      <c r="G24" s="73"/>
    </row>
    <row r="25" spans="1:12" ht="18">
      <c r="C25" s="8"/>
      <c r="D25" s="72"/>
      <c r="E25" s="74"/>
      <c r="F25" s="74"/>
    </row>
    <row r="26" spans="1:12" ht="18">
      <c r="C26" s="8"/>
      <c r="D26" s="72"/>
      <c r="E26" s="73"/>
      <c r="F26" s="73"/>
      <c r="G26" s="73"/>
    </row>
    <row r="27" spans="1:12" ht="18">
      <c r="C27" s="8"/>
      <c r="D27" s="75"/>
      <c r="E27" s="74"/>
      <c r="F27" s="74"/>
      <c r="G27" s="75"/>
    </row>
    <row r="28" spans="1:12" ht="18">
      <c r="F28" s="34"/>
      <c r="G28" s="73"/>
    </row>
    <row r="29" spans="1:12" ht="15">
      <c r="F29" s="68"/>
    </row>
    <row r="30" spans="1:12">
      <c r="F30" s="21"/>
    </row>
    <row r="55" spans="4:8" ht="21" customHeight="1">
      <c r="D55" s="418" t="s">
        <v>89</v>
      </c>
      <c r="E55" s="419"/>
      <c r="F55" s="419"/>
      <c r="G55" s="419"/>
      <c r="H55" s="419"/>
    </row>
    <row r="56" spans="4:8" ht="31.5" customHeight="1">
      <c r="D56" s="420" t="s">
        <v>90</v>
      </c>
      <c r="E56" s="421"/>
      <c r="F56" s="421"/>
      <c r="G56" s="421"/>
      <c r="H56" s="421"/>
    </row>
    <row r="58" spans="4:8">
      <c r="E58" s="415">
        <v>13</v>
      </c>
      <c r="F58" s="415"/>
      <c r="G58" s="415"/>
    </row>
  </sheetData>
  <mergeCells count="12">
    <mergeCell ref="E58:G58"/>
    <mergeCell ref="D55:H55"/>
    <mergeCell ref="D56:H56"/>
    <mergeCell ref="C20:D20"/>
    <mergeCell ref="H20:I20"/>
    <mergeCell ref="A1:A10"/>
    <mergeCell ref="C1:I1"/>
    <mergeCell ref="C2:I2"/>
    <mergeCell ref="C3:C4"/>
    <mergeCell ref="D3:D4"/>
    <mergeCell ref="H3:H4"/>
    <mergeCell ref="I3:I4"/>
  </mergeCells>
  <phoneticPr fontId="2" type="noConversion"/>
  <printOptions horizontalCentered="1" verticalCentered="1"/>
  <pageMargins left="0.196850393700787" right="0.196850393700787" top="0.37" bottom="0.45" header="0.23622047244094499" footer="0.26"/>
  <pageSetup paperSize="9" scale="86" orientation="landscape" r:id="rId1"/>
  <headerFooter alignWithMargins="0"/>
  <ignoredErrors>
    <ignoredError sqref="C9 C10:C1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M27"/>
  <sheetViews>
    <sheetView rightToLeft="1" view="pageBreakPreview" topLeftCell="A16" zoomScaleSheetLayoutView="100" workbookViewId="0">
      <selection activeCell="A29" sqref="A29"/>
    </sheetView>
  </sheetViews>
  <sheetFormatPr defaultRowHeight="12.75"/>
  <cols>
    <col min="1" max="1" width="4.85546875" style="35" customWidth="1"/>
    <col min="2" max="2" width="5" style="35" customWidth="1"/>
    <col min="3" max="3" width="6.42578125" style="35" customWidth="1"/>
    <col min="4" max="4" width="30" style="35" customWidth="1"/>
    <col min="5" max="7" width="23.85546875" style="35" customWidth="1"/>
    <col min="8" max="8" width="37.5703125" style="35" customWidth="1"/>
    <col min="9" max="9" width="6.7109375" style="35" customWidth="1"/>
    <col min="10" max="10" width="11.7109375" style="35" customWidth="1"/>
    <col min="11" max="12" width="9.140625" style="35"/>
    <col min="13" max="13" width="10.5703125" style="35" bestFit="1" customWidth="1"/>
    <col min="14" max="16384" width="9.140625" style="35"/>
  </cols>
  <sheetData>
    <row r="1" spans="1:13" s="106" customFormat="1" ht="24" customHeight="1">
      <c r="A1" s="358" t="s">
        <v>217</v>
      </c>
      <c r="C1" s="397" t="s">
        <v>260</v>
      </c>
      <c r="D1" s="397"/>
      <c r="E1" s="397"/>
      <c r="F1" s="397"/>
      <c r="G1" s="397"/>
      <c r="H1" s="397"/>
      <c r="I1" s="397"/>
    </row>
    <row r="2" spans="1:13" s="106" customFormat="1" ht="39" customHeight="1" thickBot="1">
      <c r="A2" s="358"/>
      <c r="C2" s="398"/>
      <c r="D2" s="398"/>
      <c r="E2" s="398"/>
      <c r="F2" s="398"/>
      <c r="G2" s="398"/>
      <c r="H2" s="398"/>
      <c r="I2" s="398"/>
    </row>
    <row r="3" spans="1:13" ht="24.95" customHeight="1" thickTop="1">
      <c r="A3" s="358"/>
      <c r="C3" s="366" t="s">
        <v>45</v>
      </c>
      <c r="D3" s="366" t="s">
        <v>46</v>
      </c>
      <c r="E3" s="225" t="s">
        <v>64</v>
      </c>
      <c r="F3" s="225" t="s">
        <v>65</v>
      </c>
      <c r="G3" s="225" t="s">
        <v>66</v>
      </c>
      <c r="H3" s="366" t="s">
        <v>47</v>
      </c>
      <c r="I3" s="366" t="s">
        <v>48</v>
      </c>
    </row>
    <row r="4" spans="1:13" ht="24.95" customHeight="1" thickBot="1">
      <c r="A4" s="358"/>
      <c r="C4" s="367"/>
      <c r="D4" s="367"/>
      <c r="E4" s="226" t="s">
        <v>67</v>
      </c>
      <c r="F4" s="226" t="s">
        <v>68</v>
      </c>
      <c r="G4" s="226" t="s">
        <v>69</v>
      </c>
      <c r="H4" s="367"/>
      <c r="I4" s="367"/>
    </row>
    <row r="5" spans="1:13" ht="32.25" customHeight="1">
      <c r="A5" s="358"/>
      <c r="C5" s="48">
        <v>1</v>
      </c>
      <c r="D5" s="54" t="s">
        <v>49</v>
      </c>
      <c r="E5" s="238">
        <v>288286.7</v>
      </c>
      <c r="F5" s="238">
        <v>211739.3</v>
      </c>
      <c r="G5" s="238">
        <f>E5-F5</f>
        <v>76547.400000000023</v>
      </c>
      <c r="H5" s="12" t="s">
        <v>50</v>
      </c>
      <c r="I5" s="49">
        <v>1</v>
      </c>
      <c r="L5" s="221"/>
    </row>
    <row r="6" spans="1:13" ht="32.25" customHeight="1">
      <c r="A6" s="358"/>
      <c r="C6" s="41">
        <v>2</v>
      </c>
      <c r="D6" s="45" t="s">
        <v>51</v>
      </c>
      <c r="E6" s="240">
        <f>E7+E8</f>
        <v>94444473.900000006</v>
      </c>
      <c r="F6" s="240">
        <f>F7+F8</f>
        <v>5779660.9000000004</v>
      </c>
      <c r="G6" s="240">
        <f>G7+G8</f>
        <v>88664813</v>
      </c>
      <c r="H6" s="5" t="s">
        <v>52</v>
      </c>
      <c r="I6" s="42">
        <v>2</v>
      </c>
      <c r="J6" s="62"/>
      <c r="L6" s="221"/>
    </row>
    <row r="7" spans="1:13" ht="32.25" customHeight="1">
      <c r="A7" s="358"/>
      <c r="C7" s="40" t="s">
        <v>221</v>
      </c>
      <c r="D7" s="45" t="s">
        <v>54</v>
      </c>
      <c r="E7" s="240">
        <v>94444473.900000006</v>
      </c>
      <c r="F7" s="240">
        <v>5779660.9000000004</v>
      </c>
      <c r="G7" s="240">
        <f t="shared" ref="G7:G11" si="0">E7-F7</f>
        <v>88664813</v>
      </c>
      <c r="H7" s="5" t="s">
        <v>71</v>
      </c>
      <c r="I7" s="42" t="s">
        <v>53</v>
      </c>
      <c r="L7" s="221"/>
    </row>
    <row r="8" spans="1:13" ht="32.25" customHeight="1">
      <c r="A8" s="358"/>
      <c r="C8" s="40" t="s">
        <v>56</v>
      </c>
      <c r="D8" s="45" t="s">
        <v>57</v>
      </c>
      <c r="E8" s="240">
        <v>0</v>
      </c>
      <c r="F8" s="240">
        <v>0</v>
      </c>
      <c r="G8" s="240">
        <f>E8-F8</f>
        <v>0</v>
      </c>
      <c r="H8" s="5" t="s">
        <v>58</v>
      </c>
      <c r="I8" s="42" t="s">
        <v>56</v>
      </c>
      <c r="L8" s="221"/>
    </row>
    <row r="9" spans="1:13" s="148" customFormat="1" ht="32.25" customHeight="1">
      <c r="A9" s="358"/>
      <c r="C9" s="38" t="s">
        <v>59</v>
      </c>
      <c r="D9" s="14" t="s">
        <v>60</v>
      </c>
      <c r="E9" s="229">
        <v>3400138.4</v>
      </c>
      <c r="F9" s="229">
        <v>1585159.8</v>
      </c>
      <c r="G9" s="229">
        <f>E9-F9</f>
        <v>1814978.5999999999</v>
      </c>
      <c r="H9" s="5" t="s">
        <v>61</v>
      </c>
      <c r="I9" s="37" t="s">
        <v>59</v>
      </c>
      <c r="L9" s="221"/>
    </row>
    <row r="10" spans="1:13" ht="32.25" customHeight="1">
      <c r="A10" s="358"/>
      <c r="C10" s="40" t="s">
        <v>62</v>
      </c>
      <c r="D10" s="45" t="s">
        <v>63</v>
      </c>
      <c r="E10" s="229">
        <v>7511413.0999999996</v>
      </c>
      <c r="F10" s="229">
        <v>2131868.7000000002</v>
      </c>
      <c r="G10" s="229">
        <f t="shared" si="0"/>
        <v>5379544.3999999994</v>
      </c>
      <c r="H10" s="5" t="s">
        <v>0</v>
      </c>
      <c r="I10" s="42" t="s">
        <v>62</v>
      </c>
      <c r="L10" s="221"/>
    </row>
    <row r="11" spans="1:13" s="148" customFormat="1" ht="32.25" customHeight="1">
      <c r="A11" s="196"/>
      <c r="C11" s="38" t="s">
        <v>1</v>
      </c>
      <c r="D11" s="14" t="s">
        <v>2</v>
      </c>
      <c r="E11" s="229">
        <v>723169.4</v>
      </c>
      <c r="F11" s="229">
        <v>302016.7</v>
      </c>
      <c r="G11" s="229">
        <f t="shared" si="0"/>
        <v>421152.7</v>
      </c>
      <c r="H11" s="5" t="s">
        <v>3</v>
      </c>
      <c r="I11" s="37" t="s">
        <v>1</v>
      </c>
      <c r="J11" s="204">
        <v>17</v>
      </c>
      <c r="L11" s="221"/>
    </row>
    <row r="12" spans="1:13" s="148" customFormat="1" ht="32.25" customHeight="1">
      <c r="A12" s="196"/>
      <c r="C12" s="38" t="s">
        <v>4</v>
      </c>
      <c r="D12" s="14" t="s">
        <v>5</v>
      </c>
      <c r="E12" s="229">
        <v>2027736.2</v>
      </c>
      <c r="F12" s="229">
        <v>516846.1</v>
      </c>
      <c r="G12" s="229">
        <f>E12-F12</f>
        <v>1510890.1</v>
      </c>
      <c r="H12" s="5" t="s">
        <v>6</v>
      </c>
      <c r="I12" s="37" t="s">
        <v>4</v>
      </c>
      <c r="L12" s="221"/>
      <c r="M12" s="149"/>
    </row>
    <row r="13" spans="1:13" s="148" customFormat="1" ht="32.25" customHeight="1">
      <c r="A13" s="196"/>
      <c r="C13" s="38" t="s">
        <v>7</v>
      </c>
      <c r="D13" s="14" t="s">
        <v>8</v>
      </c>
      <c r="E13" s="229">
        <v>3466876.4</v>
      </c>
      <c r="F13" s="229">
        <v>772041.9</v>
      </c>
      <c r="G13" s="229">
        <f>E13-F13</f>
        <v>2694834.5</v>
      </c>
      <c r="H13" s="147" t="s">
        <v>9</v>
      </c>
      <c r="I13" s="37" t="s">
        <v>7</v>
      </c>
      <c r="L13" s="221"/>
    </row>
    <row r="14" spans="1:13" ht="32.25" customHeight="1">
      <c r="A14" s="195"/>
      <c r="C14" s="40" t="s">
        <v>10</v>
      </c>
      <c r="D14" s="45" t="s">
        <v>11</v>
      </c>
      <c r="E14" s="240">
        <f>E15</f>
        <v>3551047.1</v>
      </c>
      <c r="F14" s="240">
        <f>F15</f>
        <v>210811.9</v>
      </c>
      <c r="G14" s="240">
        <f>E14-F14</f>
        <v>3340235.2</v>
      </c>
      <c r="H14" s="59" t="s">
        <v>12</v>
      </c>
      <c r="I14" s="42" t="s">
        <v>10</v>
      </c>
      <c r="J14" s="62"/>
      <c r="L14" s="221"/>
    </row>
    <row r="15" spans="1:13" s="148" customFormat="1" ht="32.25" customHeight="1">
      <c r="A15" s="196"/>
      <c r="C15" s="38" t="s">
        <v>222</v>
      </c>
      <c r="D15" s="14" t="s">
        <v>14</v>
      </c>
      <c r="E15" s="240">
        <v>3551047.1</v>
      </c>
      <c r="F15" s="240">
        <v>210811.9</v>
      </c>
      <c r="G15" s="240">
        <f>E15-F15</f>
        <v>3340235.2</v>
      </c>
      <c r="H15" s="5" t="s">
        <v>15</v>
      </c>
      <c r="I15" s="37" t="s">
        <v>13</v>
      </c>
      <c r="L15" s="221"/>
    </row>
    <row r="16" spans="1:13" ht="32.25" customHeight="1">
      <c r="A16" s="195"/>
      <c r="C16" s="40" t="s">
        <v>223</v>
      </c>
      <c r="D16" s="45" t="s">
        <v>17</v>
      </c>
      <c r="E16" s="240">
        <v>0</v>
      </c>
      <c r="F16" s="240">
        <v>0</v>
      </c>
      <c r="G16" s="240">
        <v>0</v>
      </c>
      <c r="H16" s="5" t="s">
        <v>18</v>
      </c>
      <c r="I16" s="42" t="s">
        <v>16</v>
      </c>
      <c r="L16" s="221"/>
    </row>
    <row r="17" spans="1:12" ht="32.25" customHeight="1">
      <c r="A17" s="195"/>
      <c r="C17" s="40" t="s">
        <v>19</v>
      </c>
      <c r="D17" s="45" t="s">
        <v>20</v>
      </c>
      <c r="E17" s="240">
        <f>E18</f>
        <v>38048389.299999997</v>
      </c>
      <c r="F17" s="240">
        <f>F18</f>
        <v>4031541.9</v>
      </c>
      <c r="G17" s="240">
        <f>G18</f>
        <v>34016847.399999999</v>
      </c>
      <c r="H17" s="5" t="s">
        <v>21</v>
      </c>
      <c r="I17" s="42" t="s">
        <v>19</v>
      </c>
      <c r="J17" s="62"/>
      <c r="L17" s="221"/>
    </row>
    <row r="18" spans="1:12" ht="32.25" customHeight="1">
      <c r="A18" s="195"/>
      <c r="C18" s="40" t="s">
        <v>224</v>
      </c>
      <c r="D18" s="45" t="s">
        <v>92</v>
      </c>
      <c r="E18" s="229">
        <v>38048389.299999997</v>
      </c>
      <c r="F18" s="229">
        <v>4031541.9</v>
      </c>
      <c r="G18" s="229">
        <f>E18-F18</f>
        <v>34016847.399999999</v>
      </c>
      <c r="H18" s="5" t="s">
        <v>91</v>
      </c>
      <c r="I18" s="42" t="s">
        <v>22</v>
      </c>
      <c r="L18" s="221"/>
    </row>
    <row r="19" spans="1:12" ht="32.25" customHeight="1" thickBot="1">
      <c r="A19" s="195"/>
      <c r="C19" s="43" t="s">
        <v>225</v>
      </c>
      <c r="D19" s="46" t="s">
        <v>24</v>
      </c>
      <c r="E19" s="240">
        <v>0</v>
      </c>
      <c r="F19" s="240">
        <v>0</v>
      </c>
      <c r="G19" s="240">
        <v>0</v>
      </c>
      <c r="H19" s="15" t="s">
        <v>72</v>
      </c>
      <c r="I19" s="44" t="s">
        <v>23</v>
      </c>
      <c r="L19" s="221"/>
    </row>
    <row r="20" spans="1:12" ht="32.25" customHeight="1" thickBot="1">
      <c r="A20" s="195"/>
      <c r="C20" s="412" t="s">
        <v>26</v>
      </c>
      <c r="D20" s="412"/>
      <c r="E20" s="231">
        <f>E5+E7+E8+E9+E10+E11+E12+E13+E15+E18</f>
        <v>153461530.5</v>
      </c>
      <c r="F20" s="231">
        <f>F5+F7+F8+F9+F10+F11+F12+F13+F15+F18</f>
        <v>15541687.199999999</v>
      </c>
      <c r="G20" s="231">
        <f>G5+G7+G8+G9+G10+G11+G12+G13+G15+G18</f>
        <v>137919843.30000001</v>
      </c>
      <c r="H20" s="411" t="s">
        <v>27</v>
      </c>
      <c r="I20" s="411"/>
      <c r="L20" s="221"/>
    </row>
    <row r="21" spans="1:12" ht="15.75" customHeight="1" thickTop="1">
      <c r="A21" s="195"/>
      <c r="C21" s="60"/>
      <c r="D21" s="60"/>
      <c r="E21" s="169"/>
      <c r="F21" s="169"/>
      <c r="G21" s="169"/>
      <c r="H21" s="60"/>
      <c r="I21" s="60"/>
    </row>
    <row r="22" spans="1:12" ht="19.5" customHeight="1">
      <c r="A22" s="197">
        <v>18</v>
      </c>
      <c r="C22" s="61"/>
      <c r="E22" s="138"/>
      <c r="F22" s="62"/>
      <c r="G22" s="62"/>
    </row>
    <row r="23" spans="1:12" ht="36.75" customHeight="1">
      <c r="C23" s="61"/>
      <c r="E23" s="62"/>
      <c r="F23" s="62"/>
      <c r="G23" s="62"/>
    </row>
    <row r="24" spans="1:12" ht="36.75" customHeight="1">
      <c r="C24" s="61"/>
      <c r="E24" s="62"/>
      <c r="F24" s="62"/>
      <c r="G24" s="62"/>
    </row>
    <row r="25" spans="1:12">
      <c r="C25" s="61"/>
      <c r="E25" s="62"/>
      <c r="F25" s="62"/>
      <c r="G25" s="62"/>
    </row>
    <row r="26" spans="1:12">
      <c r="E26" s="62"/>
      <c r="F26" s="62"/>
      <c r="G26" s="62"/>
    </row>
    <row r="27" spans="1:12">
      <c r="E27" s="221"/>
      <c r="F27" s="221"/>
      <c r="G27" s="221"/>
    </row>
  </sheetData>
  <mergeCells count="9">
    <mergeCell ref="A1:A10"/>
    <mergeCell ref="C1:I1"/>
    <mergeCell ref="C2:I2"/>
    <mergeCell ref="H20:I20"/>
    <mergeCell ref="C20:D20"/>
    <mergeCell ref="H3:H4"/>
    <mergeCell ref="I3:I4"/>
    <mergeCell ref="C3:C4"/>
    <mergeCell ref="D3:D4"/>
  </mergeCells>
  <phoneticPr fontId="2" type="noConversion"/>
  <printOptions horizontalCentered="1" verticalCentered="1"/>
  <pageMargins left="0.37" right="0.24" top="0.45" bottom="0.34" header="0.26" footer="0.196850393700787"/>
  <pageSetup paperSize="9" scale="83" orientation="landscape" r:id="rId1"/>
  <headerFooter alignWithMargins="0">
    <oddFooter>&amp;C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A1:L58"/>
  <sheetViews>
    <sheetView rightToLeft="1" view="pageBreakPreview" topLeftCell="A10" zoomScaleSheetLayoutView="100" workbookViewId="0">
      <selection activeCell="A29" sqref="A29"/>
    </sheetView>
  </sheetViews>
  <sheetFormatPr defaultRowHeight="12.75"/>
  <cols>
    <col min="1" max="1" width="5.140625" style="35" customWidth="1"/>
    <col min="2" max="2" width="3.85546875" style="35" customWidth="1"/>
    <col min="3" max="3" width="6.42578125" style="35" customWidth="1"/>
    <col min="4" max="4" width="26.7109375" style="35" customWidth="1"/>
    <col min="5" max="7" width="25.42578125" style="35" customWidth="1"/>
    <col min="8" max="8" width="37.7109375" style="35" customWidth="1"/>
    <col min="9" max="9" width="6.7109375" style="35" customWidth="1"/>
    <col min="10" max="10" width="12" style="35" customWidth="1"/>
    <col min="11" max="11" width="9.140625" style="35"/>
    <col min="12" max="12" width="10.5703125" style="35" bestFit="1" customWidth="1"/>
    <col min="13" max="16384" width="9.140625" style="35"/>
  </cols>
  <sheetData>
    <row r="1" spans="1:12" s="106" customFormat="1" ht="24" customHeight="1">
      <c r="A1" s="358" t="s">
        <v>217</v>
      </c>
      <c r="C1" s="397" t="s">
        <v>261</v>
      </c>
      <c r="D1" s="397"/>
      <c r="E1" s="397"/>
      <c r="F1" s="397"/>
      <c r="G1" s="397"/>
      <c r="H1" s="397"/>
      <c r="I1" s="397"/>
    </row>
    <row r="2" spans="1:12" s="106" customFormat="1" ht="39" customHeight="1" thickBot="1">
      <c r="A2" s="358"/>
      <c r="C2" s="398" t="s">
        <v>229</v>
      </c>
      <c r="D2" s="398"/>
      <c r="E2" s="398"/>
      <c r="F2" s="398"/>
      <c r="G2" s="398"/>
      <c r="H2" s="398"/>
      <c r="I2" s="398"/>
    </row>
    <row r="3" spans="1:12" ht="24.95" customHeight="1" thickTop="1">
      <c r="A3" s="358"/>
      <c r="C3" s="366" t="s">
        <v>45</v>
      </c>
      <c r="D3" s="366" t="s">
        <v>46</v>
      </c>
      <c r="E3" s="225" t="s">
        <v>34</v>
      </c>
      <c r="F3" s="225" t="s">
        <v>36</v>
      </c>
      <c r="G3" s="225" t="s">
        <v>66</v>
      </c>
      <c r="H3" s="366" t="s">
        <v>47</v>
      </c>
      <c r="I3" s="366" t="s">
        <v>48</v>
      </c>
    </row>
    <row r="4" spans="1:12" ht="24.95" customHeight="1" thickBot="1">
      <c r="A4" s="358"/>
      <c r="C4" s="367"/>
      <c r="D4" s="367"/>
      <c r="E4" s="226" t="s">
        <v>33</v>
      </c>
      <c r="F4" s="226" t="s">
        <v>70</v>
      </c>
      <c r="G4" s="226" t="s">
        <v>69</v>
      </c>
      <c r="H4" s="367"/>
      <c r="I4" s="367"/>
    </row>
    <row r="5" spans="1:12" ht="28.5" customHeight="1">
      <c r="A5" s="358"/>
      <c r="C5" s="48">
        <v>1</v>
      </c>
      <c r="D5" s="54" t="s">
        <v>49</v>
      </c>
      <c r="E5" s="238">
        <v>31765.9</v>
      </c>
      <c r="F5" s="238">
        <v>44781.5</v>
      </c>
      <c r="G5" s="244">
        <f>E5+F5</f>
        <v>76547.399999999994</v>
      </c>
      <c r="H5" s="12" t="s">
        <v>50</v>
      </c>
      <c r="I5" s="49">
        <v>1</v>
      </c>
      <c r="K5" s="62"/>
      <c r="L5" s="221"/>
    </row>
    <row r="6" spans="1:12" ht="28.5" customHeight="1">
      <c r="A6" s="358"/>
      <c r="C6" s="41">
        <v>2</v>
      </c>
      <c r="D6" s="45" t="s">
        <v>51</v>
      </c>
      <c r="E6" s="240">
        <f>E7+E8</f>
        <v>3217983.4</v>
      </c>
      <c r="F6" s="240">
        <f>F7+F8</f>
        <v>85446829.599999994</v>
      </c>
      <c r="G6" s="240">
        <f>G7+G8</f>
        <v>88664813</v>
      </c>
      <c r="H6" s="5" t="s">
        <v>52</v>
      </c>
      <c r="I6" s="42">
        <v>2</v>
      </c>
      <c r="J6" s="62"/>
      <c r="L6" s="221"/>
    </row>
    <row r="7" spans="1:12" ht="28.5" customHeight="1">
      <c r="A7" s="358"/>
      <c r="C7" s="40" t="s">
        <v>221</v>
      </c>
      <c r="D7" s="45" t="s">
        <v>54</v>
      </c>
      <c r="E7" s="240">
        <v>3217983.4</v>
      </c>
      <c r="F7" s="240">
        <v>85446829.599999994</v>
      </c>
      <c r="G7" s="240">
        <f>E7+F7</f>
        <v>88664813</v>
      </c>
      <c r="H7" s="5" t="s">
        <v>71</v>
      </c>
      <c r="I7" s="42" t="s">
        <v>53</v>
      </c>
      <c r="L7" s="221"/>
    </row>
    <row r="8" spans="1:12" ht="28.5" customHeight="1">
      <c r="A8" s="358"/>
      <c r="C8" s="40" t="s">
        <v>56</v>
      </c>
      <c r="D8" s="45" t="s">
        <v>57</v>
      </c>
      <c r="E8" s="240">
        <v>0</v>
      </c>
      <c r="F8" s="240">
        <v>0</v>
      </c>
      <c r="G8" s="240">
        <f t="shared" ref="G8:G11" si="0">E8+F8</f>
        <v>0</v>
      </c>
      <c r="H8" s="5" t="s">
        <v>58</v>
      </c>
      <c r="I8" s="42" t="s">
        <v>56</v>
      </c>
      <c r="L8" s="221"/>
    </row>
    <row r="9" spans="1:12" s="148" customFormat="1" ht="28.5" customHeight="1">
      <c r="A9" s="358"/>
      <c r="C9" s="38" t="s">
        <v>59</v>
      </c>
      <c r="D9" s="14" t="s">
        <v>60</v>
      </c>
      <c r="E9" s="229">
        <v>1257437.8999999999</v>
      </c>
      <c r="F9" s="229">
        <v>557540.69999999995</v>
      </c>
      <c r="G9" s="229">
        <f t="shared" si="0"/>
        <v>1814978.5999999999</v>
      </c>
      <c r="H9" s="5" t="s">
        <v>61</v>
      </c>
      <c r="I9" s="37" t="s">
        <v>59</v>
      </c>
      <c r="L9" s="221"/>
    </row>
    <row r="10" spans="1:12" ht="28.5" customHeight="1">
      <c r="A10" s="358"/>
      <c r="C10" s="40" t="s">
        <v>62</v>
      </c>
      <c r="D10" s="45" t="s">
        <v>63</v>
      </c>
      <c r="E10" s="229">
        <v>1386773.1</v>
      </c>
      <c r="F10" s="229">
        <v>3992771.3</v>
      </c>
      <c r="G10" s="229">
        <f t="shared" si="0"/>
        <v>5379544.4000000004</v>
      </c>
      <c r="H10" s="5" t="s">
        <v>0</v>
      </c>
      <c r="I10" s="42" t="s">
        <v>62</v>
      </c>
      <c r="L10" s="221"/>
    </row>
    <row r="11" spans="1:12" s="148" customFormat="1" ht="28.5" customHeight="1">
      <c r="A11" s="196"/>
      <c r="C11" s="38" t="s">
        <v>1</v>
      </c>
      <c r="D11" s="14" t="s">
        <v>2</v>
      </c>
      <c r="E11" s="229">
        <v>295255.2</v>
      </c>
      <c r="F11" s="229">
        <v>125897.5</v>
      </c>
      <c r="G11" s="229">
        <f t="shared" si="0"/>
        <v>421152.7</v>
      </c>
      <c r="H11" s="5" t="s">
        <v>3</v>
      </c>
      <c r="I11" s="37" t="s">
        <v>1</v>
      </c>
      <c r="J11" s="204">
        <v>18</v>
      </c>
      <c r="L11" s="221"/>
    </row>
    <row r="12" spans="1:12" s="148" customFormat="1" ht="28.5" customHeight="1">
      <c r="A12" s="196"/>
      <c r="C12" s="38" t="s">
        <v>4</v>
      </c>
      <c r="D12" s="14" t="s">
        <v>5</v>
      </c>
      <c r="E12" s="229">
        <v>696771</v>
      </c>
      <c r="F12" s="229">
        <v>814119.1</v>
      </c>
      <c r="G12" s="229">
        <f>E12+F12</f>
        <v>1510890.1</v>
      </c>
      <c r="H12" s="5" t="s">
        <v>6</v>
      </c>
      <c r="I12" s="37" t="s">
        <v>4</v>
      </c>
      <c r="L12" s="221"/>
    </row>
    <row r="13" spans="1:12" s="148" customFormat="1" ht="28.5" customHeight="1">
      <c r="A13" s="196"/>
      <c r="C13" s="38" t="s">
        <v>7</v>
      </c>
      <c r="D13" s="14" t="s">
        <v>8</v>
      </c>
      <c r="E13" s="229">
        <v>725322.8</v>
      </c>
      <c r="F13" s="229">
        <v>1969511.7</v>
      </c>
      <c r="G13" s="229">
        <f>E13+F13</f>
        <v>2694834.5</v>
      </c>
      <c r="H13" s="147" t="s">
        <v>9</v>
      </c>
      <c r="I13" s="37" t="s">
        <v>7</v>
      </c>
      <c r="L13" s="221"/>
    </row>
    <row r="14" spans="1:12" ht="28.5" customHeight="1">
      <c r="A14" s="195"/>
      <c r="C14" s="40" t="s">
        <v>10</v>
      </c>
      <c r="D14" s="45" t="s">
        <v>11</v>
      </c>
      <c r="E14" s="229">
        <f>E15</f>
        <v>324527.7</v>
      </c>
      <c r="F14" s="229">
        <f>F15</f>
        <v>3015707.5</v>
      </c>
      <c r="G14" s="229">
        <f>E14+F14</f>
        <v>3340235.2</v>
      </c>
      <c r="H14" s="59" t="s">
        <v>12</v>
      </c>
      <c r="I14" s="42" t="s">
        <v>10</v>
      </c>
      <c r="J14" s="62"/>
      <c r="L14" s="221"/>
    </row>
    <row r="15" spans="1:12" s="148" customFormat="1" ht="28.5" customHeight="1">
      <c r="A15" s="196"/>
      <c r="C15" s="38" t="s">
        <v>222</v>
      </c>
      <c r="D15" s="14" t="s">
        <v>14</v>
      </c>
      <c r="E15" s="229">
        <v>324527.7</v>
      </c>
      <c r="F15" s="229">
        <v>3015707.5</v>
      </c>
      <c r="G15" s="229">
        <f>E15+F15</f>
        <v>3340235.2</v>
      </c>
      <c r="H15" s="5" t="s">
        <v>15</v>
      </c>
      <c r="I15" s="37" t="s">
        <v>13</v>
      </c>
      <c r="L15" s="221"/>
    </row>
    <row r="16" spans="1:12" ht="28.5" customHeight="1">
      <c r="A16" s="195"/>
      <c r="C16" s="40" t="s">
        <v>223</v>
      </c>
      <c r="D16" s="45" t="s">
        <v>17</v>
      </c>
      <c r="E16" s="229">
        <v>0</v>
      </c>
      <c r="F16" s="229">
        <v>0</v>
      </c>
      <c r="G16" s="229">
        <v>0</v>
      </c>
      <c r="H16" s="5" t="s">
        <v>18</v>
      </c>
      <c r="I16" s="42" t="s">
        <v>16</v>
      </c>
      <c r="L16" s="221"/>
    </row>
    <row r="17" spans="1:12" ht="28.5" customHeight="1">
      <c r="A17" s="195"/>
      <c r="C17" s="40" t="s">
        <v>19</v>
      </c>
      <c r="D17" s="45" t="s">
        <v>20</v>
      </c>
      <c r="E17" s="229">
        <f>E18</f>
        <v>32866519.199999999</v>
      </c>
      <c r="F17" s="229">
        <f>F18</f>
        <v>1150328.2</v>
      </c>
      <c r="G17" s="229">
        <f>G18</f>
        <v>34016847.399999999</v>
      </c>
      <c r="H17" s="5" t="s">
        <v>21</v>
      </c>
      <c r="I17" s="42" t="s">
        <v>19</v>
      </c>
      <c r="J17" s="62"/>
      <c r="L17" s="221"/>
    </row>
    <row r="18" spans="1:12" ht="28.5" customHeight="1">
      <c r="A18" s="195"/>
      <c r="C18" s="40" t="s">
        <v>224</v>
      </c>
      <c r="D18" s="45" t="s">
        <v>92</v>
      </c>
      <c r="E18" s="229">
        <v>32866519.199999999</v>
      </c>
      <c r="F18" s="229">
        <v>1150328.2</v>
      </c>
      <c r="G18" s="229">
        <f>E18+F18</f>
        <v>34016847.399999999</v>
      </c>
      <c r="H18" s="5" t="s">
        <v>91</v>
      </c>
      <c r="I18" s="42" t="s">
        <v>22</v>
      </c>
      <c r="L18" s="221"/>
    </row>
    <row r="19" spans="1:12" ht="28.5" customHeight="1" thickBot="1">
      <c r="A19" s="195"/>
      <c r="C19" s="43" t="s">
        <v>225</v>
      </c>
      <c r="D19" s="46" t="s">
        <v>24</v>
      </c>
      <c r="E19" s="240">
        <v>0</v>
      </c>
      <c r="F19" s="240">
        <v>0</v>
      </c>
      <c r="G19" s="240">
        <v>0</v>
      </c>
      <c r="H19" s="15" t="s">
        <v>72</v>
      </c>
      <c r="I19" s="44" t="s">
        <v>23</v>
      </c>
      <c r="L19" s="221"/>
    </row>
    <row r="20" spans="1:12" ht="28.5" customHeight="1" thickBot="1">
      <c r="A20" s="195"/>
      <c r="C20" s="412" t="s">
        <v>26</v>
      </c>
      <c r="D20" s="412"/>
      <c r="E20" s="231">
        <f>E5+E7+E8+E9+E10+E11+E12+E13+E15+E18</f>
        <v>40802356.199999996</v>
      </c>
      <c r="F20" s="231">
        <f>F5+F7+F8+F9+F10+F11+F12+F13+F15+F18</f>
        <v>97117487.099999994</v>
      </c>
      <c r="G20" s="231">
        <f>G5+G7+G8+G9+G10+G11+G12+G13+G15+G18</f>
        <v>137919843.30000001</v>
      </c>
      <c r="H20" s="411" t="s">
        <v>27</v>
      </c>
      <c r="I20" s="411"/>
      <c r="L20" s="221"/>
    </row>
    <row r="21" spans="1:12" ht="13.5" thickTop="1">
      <c r="A21" s="195"/>
      <c r="C21" s="60"/>
      <c r="D21" s="60"/>
      <c r="E21" s="169"/>
      <c r="F21" s="169"/>
      <c r="G21" s="169"/>
      <c r="H21" s="60"/>
      <c r="I21" s="60"/>
    </row>
    <row r="22" spans="1:12" ht="17.25">
      <c r="A22" s="197">
        <v>19</v>
      </c>
      <c r="C22" s="61"/>
      <c r="E22" s="170"/>
      <c r="F22" s="170"/>
      <c r="G22" s="170"/>
    </row>
    <row r="23" spans="1:12">
      <c r="C23" s="61"/>
      <c r="D23" s="36"/>
      <c r="E23" s="63"/>
      <c r="F23" s="63"/>
      <c r="G23" s="63"/>
      <c r="H23" s="36"/>
    </row>
    <row r="24" spans="1:12">
      <c r="C24" s="61"/>
    </row>
    <row r="25" spans="1:12">
      <c r="C25" s="61"/>
      <c r="E25" s="62"/>
      <c r="F25" s="62"/>
      <c r="G25" s="62"/>
    </row>
    <row r="26" spans="1:12">
      <c r="G26" s="62"/>
    </row>
    <row r="27" spans="1:12">
      <c r="E27" s="62">
        <f>E18+'16'!E18</f>
        <v>32866519.199999999</v>
      </c>
      <c r="F27" s="62">
        <f>F18+'16'!F18</f>
        <v>1150328.2</v>
      </c>
      <c r="G27" s="62"/>
    </row>
    <row r="28" spans="1:12">
      <c r="E28" s="221">
        <f>E19+'16'!E19</f>
        <v>2166400.5</v>
      </c>
      <c r="F28" s="221">
        <f>F19+'16'!F19</f>
        <v>4830006.4000000004</v>
      </c>
      <c r="G28" s="62"/>
    </row>
    <row r="30" spans="1:12">
      <c r="E30" s="62"/>
      <c r="F30" s="62"/>
      <c r="G30" s="62"/>
    </row>
    <row r="32" spans="1:12">
      <c r="E32" s="62"/>
      <c r="F32" s="62"/>
      <c r="G32" s="62"/>
    </row>
    <row r="34" spans="5:7">
      <c r="E34" s="62"/>
      <c r="F34" s="62"/>
      <c r="G34" s="62"/>
    </row>
    <row r="35" spans="5:7">
      <c r="E35" s="62"/>
      <c r="F35" s="62"/>
      <c r="G35" s="62"/>
    </row>
    <row r="52" spans="4:10" ht="15.75">
      <c r="D52" s="364"/>
      <c r="E52" s="364"/>
      <c r="F52" s="364"/>
      <c r="G52" s="364"/>
      <c r="H52" s="364"/>
      <c r="I52" s="364"/>
      <c r="J52" s="364"/>
    </row>
    <row r="53" spans="4:10" ht="30" customHeight="1">
      <c r="D53" s="417"/>
      <c r="E53" s="417"/>
      <c r="F53" s="417"/>
      <c r="G53" s="417"/>
      <c r="H53" s="417"/>
      <c r="I53" s="417"/>
      <c r="J53" s="417"/>
    </row>
    <row r="58" spans="4:10">
      <c r="D58" s="422"/>
      <c r="E58" s="422"/>
      <c r="F58" s="422"/>
      <c r="G58" s="422"/>
      <c r="H58" s="422"/>
      <c r="I58" s="422"/>
      <c r="J58" s="422"/>
    </row>
  </sheetData>
  <mergeCells count="12">
    <mergeCell ref="D58:J58"/>
    <mergeCell ref="D52:J52"/>
    <mergeCell ref="D53:J53"/>
    <mergeCell ref="H20:I20"/>
    <mergeCell ref="C20:D20"/>
    <mergeCell ref="A1:A10"/>
    <mergeCell ref="C1:I1"/>
    <mergeCell ref="C2:I2"/>
    <mergeCell ref="H3:H4"/>
    <mergeCell ref="I3:I4"/>
    <mergeCell ref="C3:C4"/>
    <mergeCell ref="D3:D4"/>
  </mergeCells>
  <phoneticPr fontId="2" type="noConversion"/>
  <printOptions horizontalCentered="1" verticalCentered="1"/>
  <pageMargins left="0.196850393700787" right="0.196850393700787" top="0.46" bottom="0.47" header="0.23" footer="0.31"/>
  <pageSetup paperSize="9" scale="88" orientation="landscape" r:id="rId1"/>
  <headerFooter alignWithMargins="0"/>
  <rowBreaks count="1" manualBreakCount="1">
    <brk id="22" min="2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</sheetPr>
  <dimension ref="A1:P32"/>
  <sheetViews>
    <sheetView rightToLeft="1" view="pageBreakPreview" zoomScaleSheetLayoutView="100" workbookViewId="0">
      <selection activeCell="A29" sqref="A29"/>
    </sheetView>
  </sheetViews>
  <sheetFormatPr defaultRowHeight="12.75"/>
  <cols>
    <col min="1" max="1" width="4.85546875" style="1" customWidth="1"/>
    <col min="2" max="2" width="4" style="1" customWidth="1"/>
    <col min="3" max="3" width="6.42578125" style="1" customWidth="1"/>
    <col min="4" max="4" width="26.7109375" style="1" customWidth="1"/>
    <col min="5" max="7" width="24.5703125" style="1" customWidth="1"/>
    <col min="8" max="8" width="36.85546875" style="1" customWidth="1"/>
    <col min="9" max="9" width="7.28515625" style="1" customWidth="1"/>
    <col min="10" max="10" width="10.5703125" style="1" bestFit="1" customWidth="1"/>
    <col min="11" max="14" width="10.5703125" style="1" customWidth="1"/>
    <col min="15" max="15" width="9.140625" style="1"/>
    <col min="16" max="16" width="10.5703125" style="1" bestFit="1" customWidth="1"/>
    <col min="17" max="16384" width="9.140625" style="1"/>
  </cols>
  <sheetData>
    <row r="1" spans="1:16" s="107" customFormat="1" ht="24" customHeight="1">
      <c r="A1" s="358" t="s">
        <v>217</v>
      </c>
      <c r="C1" s="397" t="s">
        <v>262</v>
      </c>
      <c r="D1" s="397"/>
      <c r="E1" s="397"/>
      <c r="F1" s="397"/>
      <c r="G1" s="397"/>
      <c r="H1" s="397"/>
      <c r="I1" s="397"/>
    </row>
    <row r="2" spans="1:16" s="107" customFormat="1" ht="39" customHeight="1" thickBot="1">
      <c r="A2" s="358"/>
      <c r="C2" s="398" t="s">
        <v>228</v>
      </c>
      <c r="D2" s="398"/>
      <c r="E2" s="398"/>
      <c r="F2" s="398"/>
      <c r="G2" s="398"/>
      <c r="H2" s="398"/>
      <c r="I2" s="398"/>
    </row>
    <row r="3" spans="1:16" ht="24.95" customHeight="1" thickTop="1">
      <c r="A3" s="358"/>
      <c r="C3" s="366" t="s">
        <v>45</v>
      </c>
      <c r="D3" s="366" t="s">
        <v>46</v>
      </c>
      <c r="E3" s="225" t="s">
        <v>64</v>
      </c>
      <c r="F3" s="225" t="s">
        <v>65</v>
      </c>
      <c r="G3" s="225" t="s">
        <v>66</v>
      </c>
      <c r="H3" s="366" t="s">
        <v>47</v>
      </c>
      <c r="I3" s="366" t="s">
        <v>48</v>
      </c>
    </row>
    <row r="4" spans="1:16" ht="24.95" customHeight="1" thickBot="1">
      <c r="A4" s="358"/>
      <c r="C4" s="367"/>
      <c r="D4" s="367"/>
      <c r="E4" s="226" t="s">
        <v>67</v>
      </c>
      <c r="F4" s="226" t="s">
        <v>68</v>
      </c>
      <c r="G4" s="226" t="s">
        <v>69</v>
      </c>
      <c r="H4" s="367"/>
      <c r="I4" s="367"/>
    </row>
    <row r="5" spans="1:16" ht="30.75" customHeight="1">
      <c r="A5" s="358"/>
      <c r="C5" s="48">
        <v>1</v>
      </c>
      <c r="D5" s="54" t="s">
        <v>49</v>
      </c>
      <c r="E5" s="237">
        <v>9525316.0999999996</v>
      </c>
      <c r="F5" s="238">
        <v>3003478.7</v>
      </c>
      <c r="G5" s="239">
        <f>E5-F5</f>
        <v>6521837.3999999994</v>
      </c>
      <c r="H5" s="12" t="s">
        <v>50</v>
      </c>
      <c r="I5" s="49">
        <v>1</v>
      </c>
      <c r="J5" s="118"/>
      <c r="K5" s="118"/>
      <c r="L5" s="118"/>
      <c r="M5" s="118"/>
      <c r="N5" s="216"/>
      <c r="O5" s="118"/>
      <c r="P5" s="78"/>
    </row>
    <row r="6" spans="1:16" ht="30.75" customHeight="1">
      <c r="A6" s="358"/>
      <c r="C6" s="41">
        <v>2</v>
      </c>
      <c r="D6" s="45" t="s">
        <v>51</v>
      </c>
      <c r="E6" s="240">
        <f>E8</f>
        <v>646494.4</v>
      </c>
      <c r="F6" s="240">
        <f>F8</f>
        <v>246249.7</v>
      </c>
      <c r="G6" s="240">
        <f>G8</f>
        <v>400244.7</v>
      </c>
      <c r="H6" s="5" t="s">
        <v>52</v>
      </c>
      <c r="I6" s="42">
        <v>2</v>
      </c>
      <c r="J6" s="70"/>
      <c r="K6" s="70"/>
      <c r="L6" s="118"/>
      <c r="M6" s="70"/>
      <c r="N6" s="216"/>
      <c r="O6" s="118"/>
      <c r="P6" s="78"/>
    </row>
    <row r="7" spans="1:16" ht="30.75" customHeight="1">
      <c r="A7" s="358"/>
      <c r="C7" s="40" t="s">
        <v>221</v>
      </c>
      <c r="D7" s="45" t="s">
        <v>54</v>
      </c>
      <c r="E7" s="229">
        <v>0</v>
      </c>
      <c r="F7" s="229">
        <v>0</v>
      </c>
      <c r="G7" s="229">
        <v>0</v>
      </c>
      <c r="H7" s="5" t="s">
        <v>71</v>
      </c>
      <c r="I7" s="42" t="s">
        <v>53</v>
      </c>
      <c r="L7" s="118"/>
      <c r="N7" s="216"/>
      <c r="O7" s="118"/>
      <c r="P7" s="78"/>
    </row>
    <row r="8" spans="1:16" ht="30.75" customHeight="1">
      <c r="A8" s="358"/>
      <c r="C8" s="40" t="s">
        <v>56</v>
      </c>
      <c r="D8" s="45" t="s">
        <v>57</v>
      </c>
      <c r="E8" s="229">
        <v>646494.4</v>
      </c>
      <c r="F8" s="229">
        <v>246249.7</v>
      </c>
      <c r="G8" s="229">
        <f>E8-F8</f>
        <v>400244.7</v>
      </c>
      <c r="H8" s="5" t="s">
        <v>58</v>
      </c>
      <c r="I8" s="42" t="s">
        <v>56</v>
      </c>
      <c r="L8" s="118"/>
      <c r="N8" s="216"/>
      <c r="O8" s="118"/>
      <c r="P8" s="78"/>
    </row>
    <row r="9" spans="1:16" s="120" customFormat="1" ht="30.75" customHeight="1">
      <c r="A9" s="358"/>
      <c r="C9" s="38" t="s">
        <v>59</v>
      </c>
      <c r="D9" s="14" t="s">
        <v>60</v>
      </c>
      <c r="E9" s="229">
        <v>7053258.0999999996</v>
      </c>
      <c r="F9" s="229">
        <v>4048340.3</v>
      </c>
      <c r="G9" s="229">
        <f>E9-F9</f>
        <v>3004917.8</v>
      </c>
      <c r="H9" s="5" t="s">
        <v>61</v>
      </c>
      <c r="I9" s="37" t="s">
        <v>59</v>
      </c>
      <c r="L9" s="118"/>
      <c r="N9" s="216"/>
      <c r="O9" s="146"/>
      <c r="P9" s="78"/>
    </row>
    <row r="10" spans="1:16" ht="30.75" customHeight="1">
      <c r="A10" s="358"/>
      <c r="C10" s="40" t="s">
        <v>62</v>
      </c>
      <c r="D10" s="45" t="s">
        <v>63</v>
      </c>
      <c r="E10" s="229">
        <v>2454238.7999999998</v>
      </c>
      <c r="F10" s="229">
        <v>1347377.1</v>
      </c>
      <c r="G10" s="229">
        <f t="shared" ref="G10:G11" si="0">E10-F10</f>
        <v>1106861.6999999997</v>
      </c>
      <c r="H10" s="5" t="s">
        <v>0</v>
      </c>
      <c r="I10" s="42" t="s">
        <v>62</v>
      </c>
      <c r="J10" s="70"/>
      <c r="K10" s="70"/>
      <c r="L10" s="118"/>
      <c r="M10" s="70"/>
      <c r="N10" s="216"/>
      <c r="O10" s="118"/>
      <c r="P10" s="78"/>
    </row>
    <row r="11" spans="1:16" s="120" customFormat="1" ht="30.75" customHeight="1">
      <c r="A11" s="190"/>
      <c r="C11" s="38" t="s">
        <v>1</v>
      </c>
      <c r="D11" s="14" t="s">
        <v>2</v>
      </c>
      <c r="E11" s="229">
        <v>22003215.699999999</v>
      </c>
      <c r="F11" s="229">
        <v>9015426</v>
      </c>
      <c r="G11" s="229">
        <f t="shared" si="0"/>
        <v>12987789.699999999</v>
      </c>
      <c r="H11" s="5" t="s">
        <v>3</v>
      </c>
      <c r="I11" s="37" t="s">
        <v>1</v>
      </c>
      <c r="J11" s="178">
        <v>19</v>
      </c>
      <c r="K11" s="178"/>
      <c r="L11" s="118"/>
      <c r="M11" s="178"/>
      <c r="N11" s="216"/>
      <c r="O11" s="146"/>
      <c r="P11" s="78"/>
    </row>
    <row r="12" spans="1:16" s="120" customFormat="1" ht="30.75" customHeight="1">
      <c r="A12" s="190"/>
      <c r="C12" s="38" t="s">
        <v>4</v>
      </c>
      <c r="D12" s="14" t="s">
        <v>5</v>
      </c>
      <c r="E12" s="241">
        <v>35942957.799999997</v>
      </c>
      <c r="F12" s="229">
        <v>13472062.1</v>
      </c>
      <c r="G12" s="229">
        <f t="shared" ref="G12:G17" si="1">E12-F12</f>
        <v>22470895.699999996</v>
      </c>
      <c r="H12" s="5" t="s">
        <v>6</v>
      </c>
      <c r="I12" s="37" t="s">
        <v>4</v>
      </c>
      <c r="J12" s="141"/>
      <c r="K12" s="141"/>
      <c r="L12" s="118"/>
      <c r="M12" s="141"/>
      <c r="N12" s="216"/>
      <c r="O12" s="146"/>
      <c r="P12" s="78"/>
    </row>
    <row r="13" spans="1:16" s="120" customFormat="1" ht="30.75" customHeight="1">
      <c r="A13" s="190"/>
      <c r="C13" s="38" t="s">
        <v>7</v>
      </c>
      <c r="D13" s="14" t="s">
        <v>8</v>
      </c>
      <c r="E13" s="242">
        <v>24321373.5</v>
      </c>
      <c r="F13" s="229">
        <v>6944227.9000000004</v>
      </c>
      <c r="G13" s="229">
        <f t="shared" si="1"/>
        <v>17377145.600000001</v>
      </c>
      <c r="H13" s="147" t="s">
        <v>9</v>
      </c>
      <c r="I13" s="37" t="s">
        <v>7</v>
      </c>
      <c r="L13" s="118"/>
      <c r="N13" s="216"/>
      <c r="O13" s="146"/>
      <c r="P13" s="78"/>
    </row>
    <row r="14" spans="1:16" ht="30.75" customHeight="1">
      <c r="A14" s="189"/>
      <c r="C14" s="40" t="s">
        <v>10</v>
      </c>
      <c r="D14" s="45" t="s">
        <v>11</v>
      </c>
      <c r="E14" s="229">
        <f>E15+E16</f>
        <v>19888610.099999998</v>
      </c>
      <c r="F14" s="229">
        <f>F15+F16</f>
        <v>4038229.7</v>
      </c>
      <c r="G14" s="229">
        <f t="shared" si="1"/>
        <v>15850380.399999999</v>
      </c>
      <c r="H14" s="59" t="s">
        <v>12</v>
      </c>
      <c r="I14" s="42" t="s">
        <v>10</v>
      </c>
      <c r="J14" s="70"/>
      <c r="K14" s="70"/>
      <c r="L14" s="118"/>
      <c r="M14" s="70"/>
      <c r="N14" s="216"/>
      <c r="O14" s="118"/>
      <c r="P14" s="78"/>
    </row>
    <row r="15" spans="1:16" s="120" customFormat="1" ht="30.75" customHeight="1">
      <c r="A15" s="190"/>
      <c r="C15" s="38" t="s">
        <v>222</v>
      </c>
      <c r="D15" s="14" t="s">
        <v>14</v>
      </c>
      <c r="E15" s="229">
        <v>1071131.8999999999</v>
      </c>
      <c r="F15" s="229">
        <v>273493.59999999998</v>
      </c>
      <c r="G15" s="229">
        <f t="shared" si="1"/>
        <v>797638.29999999993</v>
      </c>
      <c r="H15" s="5" t="s">
        <v>15</v>
      </c>
      <c r="I15" s="37" t="s">
        <v>13</v>
      </c>
      <c r="L15" s="118"/>
      <c r="N15" s="216"/>
      <c r="O15" s="146"/>
      <c r="P15" s="78"/>
    </row>
    <row r="16" spans="1:16" ht="30.75" customHeight="1">
      <c r="A16" s="189"/>
      <c r="C16" s="40" t="s">
        <v>223</v>
      </c>
      <c r="D16" s="45" t="s">
        <v>17</v>
      </c>
      <c r="E16" s="241">
        <v>18817478.199999999</v>
      </c>
      <c r="F16" s="229">
        <v>3764736.1</v>
      </c>
      <c r="G16" s="229">
        <f t="shared" si="1"/>
        <v>15052742.1</v>
      </c>
      <c r="H16" s="5" t="s">
        <v>18</v>
      </c>
      <c r="I16" s="42" t="s">
        <v>16</v>
      </c>
      <c r="J16" s="70"/>
      <c r="K16" s="70"/>
      <c r="L16" s="118"/>
      <c r="M16" s="70"/>
      <c r="N16" s="216"/>
      <c r="O16" s="118"/>
      <c r="P16" s="78"/>
    </row>
    <row r="17" spans="1:16" ht="30.75" customHeight="1">
      <c r="A17" s="189"/>
      <c r="C17" s="40" t="s">
        <v>19</v>
      </c>
      <c r="D17" s="45" t="s">
        <v>20</v>
      </c>
      <c r="E17" s="241">
        <f>E19</f>
        <v>9296409.9000000004</v>
      </c>
      <c r="F17" s="229">
        <f>F19</f>
        <v>2300003</v>
      </c>
      <c r="G17" s="229">
        <f t="shared" si="1"/>
        <v>6996406.9000000004</v>
      </c>
      <c r="H17" s="5" t="s">
        <v>21</v>
      </c>
      <c r="I17" s="42" t="s">
        <v>19</v>
      </c>
      <c r="J17" s="70"/>
      <c r="K17" s="70"/>
      <c r="L17" s="118"/>
      <c r="M17" s="70"/>
      <c r="N17" s="216"/>
      <c r="O17" s="118"/>
      <c r="P17" s="78"/>
    </row>
    <row r="18" spans="1:16" ht="30.75" customHeight="1">
      <c r="A18" s="189"/>
      <c r="C18" s="40" t="s">
        <v>224</v>
      </c>
      <c r="D18" s="45" t="s">
        <v>92</v>
      </c>
      <c r="E18" s="229">
        <v>0</v>
      </c>
      <c r="F18" s="229">
        <v>0</v>
      </c>
      <c r="G18" s="229">
        <v>0</v>
      </c>
      <c r="H18" s="5" t="s">
        <v>91</v>
      </c>
      <c r="I18" s="42" t="s">
        <v>22</v>
      </c>
      <c r="L18" s="118"/>
      <c r="N18" s="216"/>
      <c r="O18" s="118"/>
      <c r="P18" s="78"/>
    </row>
    <row r="19" spans="1:16" ht="30.75" customHeight="1" thickBot="1">
      <c r="A19" s="189"/>
      <c r="C19" s="43" t="s">
        <v>225</v>
      </c>
      <c r="D19" s="45" t="s">
        <v>24</v>
      </c>
      <c r="E19" s="229">
        <v>9296409.9000000004</v>
      </c>
      <c r="F19" s="229">
        <v>2300003</v>
      </c>
      <c r="G19" s="229">
        <f>E19-F19</f>
        <v>6996406.9000000004</v>
      </c>
      <c r="H19" s="5" t="s">
        <v>72</v>
      </c>
      <c r="I19" s="44" t="s">
        <v>23</v>
      </c>
      <c r="L19" s="118"/>
      <c r="N19" s="216"/>
      <c r="O19" s="118"/>
      <c r="P19" s="78"/>
    </row>
    <row r="20" spans="1:16" ht="30.75" customHeight="1" thickBot="1">
      <c r="A20" s="189"/>
      <c r="C20" s="424" t="s">
        <v>26</v>
      </c>
      <c r="D20" s="424"/>
      <c r="E20" s="243">
        <f>E5+E8+E9+E10+E11+E12+E13+E15+E16+E19</f>
        <v>131131874.40000002</v>
      </c>
      <c r="F20" s="243">
        <f>F5+F8+F9+F10+F11+F12+F13+F15+F16+F19</f>
        <v>44415394.5</v>
      </c>
      <c r="G20" s="243">
        <f>G5+G8+G9+G10+G11+G12+G13+G15+G16+G19</f>
        <v>86716479.899999991</v>
      </c>
      <c r="H20" s="423" t="s">
        <v>27</v>
      </c>
      <c r="I20" s="423"/>
      <c r="L20" s="118"/>
      <c r="N20" s="216"/>
      <c r="O20" s="118"/>
      <c r="P20" s="78"/>
    </row>
    <row r="21" spans="1:16" ht="13.5" thickTop="1">
      <c r="A21" s="189"/>
      <c r="C21" s="18"/>
      <c r="D21" s="18"/>
      <c r="E21" s="117"/>
      <c r="F21" s="117"/>
      <c r="G21" s="117"/>
      <c r="H21" s="18"/>
      <c r="I21" s="18"/>
    </row>
    <row r="22" spans="1:16" ht="17.25">
      <c r="A22" s="185">
        <v>20</v>
      </c>
      <c r="C22" s="9"/>
      <c r="E22" s="70"/>
      <c r="F22" s="70"/>
      <c r="G22" s="78"/>
    </row>
    <row r="23" spans="1:16">
      <c r="C23" s="9"/>
      <c r="G23" s="78"/>
    </row>
    <row r="24" spans="1:16">
      <c r="C24" s="9"/>
      <c r="E24" s="118"/>
      <c r="F24" s="70"/>
      <c r="G24" s="70"/>
    </row>
    <row r="25" spans="1:16">
      <c r="C25" s="9"/>
      <c r="E25" s="70"/>
      <c r="F25" s="70"/>
      <c r="G25" s="70"/>
    </row>
    <row r="26" spans="1:16">
      <c r="E26" s="70"/>
      <c r="F26" s="70"/>
      <c r="G26" s="70"/>
    </row>
    <row r="27" spans="1:16">
      <c r="E27" s="78"/>
      <c r="F27" s="78"/>
      <c r="G27" s="78"/>
    </row>
    <row r="28" spans="1:16">
      <c r="G28" s="70"/>
    </row>
    <row r="29" spans="1:16">
      <c r="E29" s="78"/>
      <c r="F29" s="78"/>
      <c r="G29" s="78"/>
    </row>
    <row r="30" spans="1:16">
      <c r="E30" s="70"/>
    </row>
    <row r="31" spans="1:16">
      <c r="E31" s="70"/>
      <c r="F31" s="70"/>
    </row>
    <row r="32" spans="1:16">
      <c r="E32" s="70"/>
      <c r="F32" s="70"/>
    </row>
  </sheetData>
  <mergeCells count="9">
    <mergeCell ref="A1:A10"/>
    <mergeCell ref="C1:I1"/>
    <mergeCell ref="C2:I2"/>
    <mergeCell ref="H20:I20"/>
    <mergeCell ref="C20:D20"/>
    <mergeCell ref="H3:H4"/>
    <mergeCell ref="I3:I4"/>
    <mergeCell ref="C3:C4"/>
    <mergeCell ref="D3:D4"/>
  </mergeCells>
  <phoneticPr fontId="2" type="noConversion"/>
  <printOptions horizontalCentered="1" verticalCentered="1"/>
  <pageMargins left="0.17" right="0.31" top="0.33" bottom="0.35" header="0.2" footer="0.21"/>
  <pageSetup paperSize="9" scale="83" orientation="landscape" r:id="rId1"/>
  <headerFooter alignWithMargins="0">
    <oddFooter>&amp;C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0000"/>
  </sheetPr>
  <dimension ref="A1:P58"/>
  <sheetViews>
    <sheetView rightToLeft="1" view="pageBreakPreview" topLeftCell="A10" zoomScaleSheetLayoutView="100" workbookViewId="0">
      <selection activeCell="A29" sqref="A29"/>
    </sheetView>
  </sheetViews>
  <sheetFormatPr defaultRowHeight="12.75"/>
  <cols>
    <col min="1" max="1" width="4.5703125" style="35" customWidth="1"/>
    <col min="2" max="2" width="4.140625" style="35" customWidth="1"/>
    <col min="3" max="3" width="6.42578125" style="35" customWidth="1"/>
    <col min="4" max="4" width="27.140625" style="35" customWidth="1"/>
    <col min="5" max="7" width="24.7109375" style="35" customWidth="1"/>
    <col min="8" max="8" width="38.28515625" style="35" customWidth="1"/>
    <col min="9" max="9" width="6.85546875" style="35" customWidth="1"/>
    <col min="10" max="10" width="10.5703125" style="35" bestFit="1" customWidth="1"/>
    <col min="11" max="14" width="10.5703125" style="35" customWidth="1"/>
    <col min="15" max="15" width="10.5703125" style="35" bestFit="1" customWidth="1"/>
    <col min="16" max="16384" width="9.140625" style="35"/>
  </cols>
  <sheetData>
    <row r="1" spans="1:16" s="106" customFormat="1" ht="24" customHeight="1">
      <c r="A1" s="358" t="s">
        <v>217</v>
      </c>
      <c r="C1" s="397" t="s">
        <v>263</v>
      </c>
      <c r="D1" s="397"/>
      <c r="E1" s="397"/>
      <c r="F1" s="397"/>
      <c r="G1" s="397"/>
      <c r="H1" s="397"/>
      <c r="I1" s="397"/>
    </row>
    <row r="2" spans="1:16" s="106" customFormat="1" ht="39" customHeight="1" thickBot="1">
      <c r="A2" s="358"/>
      <c r="C2" s="398" t="s">
        <v>227</v>
      </c>
      <c r="D2" s="398"/>
      <c r="E2" s="398"/>
      <c r="F2" s="398"/>
      <c r="G2" s="398"/>
      <c r="H2" s="398"/>
      <c r="I2" s="398"/>
    </row>
    <row r="3" spans="1:16" ht="24.95" customHeight="1" thickTop="1">
      <c r="A3" s="358"/>
      <c r="C3" s="366" t="s">
        <v>45</v>
      </c>
      <c r="D3" s="366" t="s">
        <v>46</v>
      </c>
      <c r="E3" s="225" t="s">
        <v>34</v>
      </c>
      <c r="F3" s="225" t="s">
        <v>36</v>
      </c>
      <c r="G3" s="225" t="s">
        <v>66</v>
      </c>
      <c r="H3" s="366" t="s">
        <v>47</v>
      </c>
      <c r="I3" s="366" t="s">
        <v>48</v>
      </c>
    </row>
    <row r="4" spans="1:16" ht="24.95" customHeight="1" thickBot="1">
      <c r="A4" s="358"/>
      <c r="C4" s="367"/>
      <c r="D4" s="367"/>
      <c r="E4" s="226" t="s">
        <v>33</v>
      </c>
      <c r="F4" s="226" t="s">
        <v>70</v>
      </c>
      <c r="G4" s="226" t="s">
        <v>69</v>
      </c>
      <c r="H4" s="367"/>
      <c r="I4" s="367"/>
    </row>
    <row r="5" spans="1:16" ht="32.25" customHeight="1">
      <c r="A5" s="358"/>
      <c r="C5" s="48">
        <v>1</v>
      </c>
      <c r="D5" s="54" t="s">
        <v>49</v>
      </c>
      <c r="E5" s="228">
        <v>2242219.7000000002</v>
      </c>
      <c r="F5" s="228">
        <v>4279617.7</v>
      </c>
      <c r="G5" s="228">
        <f>E5+F5</f>
        <v>6521837.4000000004</v>
      </c>
      <c r="H5" s="12" t="s">
        <v>50</v>
      </c>
      <c r="I5" s="49">
        <v>1</v>
      </c>
      <c r="L5" s="62"/>
      <c r="N5" s="221"/>
      <c r="O5" s="62"/>
      <c r="P5" s="221"/>
    </row>
    <row r="6" spans="1:16" ht="32.25" customHeight="1">
      <c r="A6" s="358"/>
      <c r="C6" s="41">
        <v>2</v>
      </c>
      <c r="D6" s="45" t="s">
        <v>51</v>
      </c>
      <c r="E6" s="229">
        <f>E8</f>
        <v>68401.8</v>
      </c>
      <c r="F6" s="229">
        <f>F8</f>
        <v>331842.90000000002</v>
      </c>
      <c r="G6" s="229">
        <f>G8</f>
        <v>400244.7</v>
      </c>
      <c r="H6" s="5" t="s">
        <v>52</v>
      </c>
      <c r="I6" s="42">
        <v>2</v>
      </c>
      <c r="L6" s="62"/>
      <c r="N6" s="221"/>
      <c r="O6" s="62"/>
      <c r="P6" s="221"/>
    </row>
    <row r="7" spans="1:16" ht="32.25" customHeight="1">
      <c r="A7" s="358"/>
      <c r="C7" s="40" t="s">
        <v>221</v>
      </c>
      <c r="D7" s="45" t="s">
        <v>54</v>
      </c>
      <c r="E7" s="229">
        <v>0</v>
      </c>
      <c r="F7" s="229">
        <v>0</v>
      </c>
      <c r="G7" s="229">
        <v>0</v>
      </c>
      <c r="H7" s="5" t="s">
        <v>71</v>
      </c>
      <c r="I7" s="42" t="s">
        <v>53</v>
      </c>
      <c r="L7" s="62"/>
      <c r="N7" s="221"/>
      <c r="O7" s="62"/>
      <c r="P7" s="221"/>
    </row>
    <row r="8" spans="1:16" ht="32.25" customHeight="1">
      <c r="A8" s="358"/>
      <c r="C8" s="40" t="s">
        <v>56</v>
      </c>
      <c r="D8" s="45" t="s">
        <v>57</v>
      </c>
      <c r="E8" s="229">
        <v>68401.8</v>
      </c>
      <c r="F8" s="229">
        <v>331842.90000000002</v>
      </c>
      <c r="G8" s="229">
        <f>E8+F8</f>
        <v>400244.7</v>
      </c>
      <c r="H8" s="5" t="s">
        <v>58</v>
      </c>
      <c r="I8" s="42" t="s">
        <v>56</v>
      </c>
      <c r="L8" s="62"/>
      <c r="N8" s="221"/>
      <c r="O8" s="62"/>
      <c r="P8" s="221"/>
    </row>
    <row r="9" spans="1:16" s="148" customFormat="1" ht="32.25" customHeight="1">
      <c r="A9" s="358"/>
      <c r="C9" s="38" t="s">
        <v>59</v>
      </c>
      <c r="D9" s="14" t="s">
        <v>60</v>
      </c>
      <c r="E9" s="229">
        <v>720532</v>
      </c>
      <c r="F9" s="229">
        <v>2284385.7999999998</v>
      </c>
      <c r="G9" s="229">
        <f t="shared" ref="G9:G12" si="0">E9+F9</f>
        <v>3004917.8</v>
      </c>
      <c r="H9" s="5" t="s">
        <v>61</v>
      </c>
      <c r="I9" s="37" t="s">
        <v>59</v>
      </c>
      <c r="L9" s="62"/>
      <c r="N9" s="221"/>
      <c r="O9" s="149"/>
      <c r="P9" s="221"/>
    </row>
    <row r="10" spans="1:16" ht="32.25" customHeight="1">
      <c r="A10" s="358"/>
      <c r="C10" s="40" t="s">
        <v>62</v>
      </c>
      <c r="D10" s="45" t="s">
        <v>63</v>
      </c>
      <c r="E10" s="229">
        <v>332058.5</v>
      </c>
      <c r="F10" s="229">
        <v>774803.2</v>
      </c>
      <c r="G10" s="229">
        <f t="shared" si="0"/>
        <v>1106861.7</v>
      </c>
      <c r="H10" s="5" t="s">
        <v>0</v>
      </c>
      <c r="I10" s="42" t="s">
        <v>62</v>
      </c>
      <c r="L10" s="62"/>
      <c r="N10" s="221"/>
      <c r="O10" s="62"/>
      <c r="P10" s="221"/>
    </row>
    <row r="11" spans="1:16" s="148" customFormat="1" ht="32.25" customHeight="1">
      <c r="A11" s="196"/>
      <c r="C11" s="38" t="s">
        <v>1</v>
      </c>
      <c r="D11" s="14" t="s">
        <v>2</v>
      </c>
      <c r="E11" s="229">
        <v>5295210.4000000004</v>
      </c>
      <c r="F11" s="229">
        <v>7692579.2999999998</v>
      </c>
      <c r="G11" s="229">
        <f t="shared" si="0"/>
        <v>12987789.699999999</v>
      </c>
      <c r="H11" s="5" t="s">
        <v>3</v>
      </c>
      <c r="I11" s="37" t="s">
        <v>1</v>
      </c>
      <c r="J11" s="204">
        <v>20</v>
      </c>
      <c r="K11" s="204"/>
      <c r="L11" s="62"/>
      <c r="M11" s="204"/>
      <c r="N11" s="221"/>
      <c r="O11" s="149"/>
      <c r="P11" s="221"/>
    </row>
    <row r="12" spans="1:16" s="148" customFormat="1" ht="32.25" customHeight="1">
      <c r="A12" s="196"/>
      <c r="C12" s="38" t="s">
        <v>4</v>
      </c>
      <c r="D12" s="14" t="s">
        <v>5</v>
      </c>
      <c r="E12" s="229">
        <v>12122236.1</v>
      </c>
      <c r="F12" s="229">
        <v>10348659.6</v>
      </c>
      <c r="G12" s="229">
        <f t="shared" si="0"/>
        <v>22470895.699999999</v>
      </c>
      <c r="H12" s="5" t="s">
        <v>6</v>
      </c>
      <c r="I12" s="37" t="s">
        <v>4</v>
      </c>
      <c r="L12" s="62"/>
      <c r="N12" s="221"/>
      <c r="O12" s="149"/>
      <c r="P12" s="221"/>
    </row>
    <row r="13" spans="1:16" s="148" customFormat="1" ht="32.25" customHeight="1">
      <c r="A13" s="196"/>
      <c r="C13" s="38" t="s">
        <v>7</v>
      </c>
      <c r="D13" s="14" t="s">
        <v>8</v>
      </c>
      <c r="E13" s="229">
        <v>2695509.7</v>
      </c>
      <c r="F13" s="229">
        <v>14681635.9</v>
      </c>
      <c r="G13" s="229">
        <f>E13+F13</f>
        <v>17377145.600000001</v>
      </c>
      <c r="H13" s="147" t="s">
        <v>9</v>
      </c>
      <c r="I13" s="37" t="s">
        <v>7</v>
      </c>
      <c r="L13" s="62"/>
      <c r="N13" s="221"/>
      <c r="O13" s="149"/>
      <c r="P13" s="221"/>
    </row>
    <row r="14" spans="1:16" ht="32.25" customHeight="1">
      <c r="A14" s="195"/>
      <c r="C14" s="40" t="s">
        <v>10</v>
      </c>
      <c r="D14" s="45" t="s">
        <v>11</v>
      </c>
      <c r="E14" s="229">
        <f>E15+E16</f>
        <v>172142.5</v>
      </c>
      <c r="F14" s="229">
        <f>F15+F16</f>
        <v>15678237.9</v>
      </c>
      <c r="G14" s="229">
        <f>E14+F14</f>
        <v>15850380.4</v>
      </c>
      <c r="H14" s="59" t="s">
        <v>12</v>
      </c>
      <c r="I14" s="42" t="s">
        <v>10</v>
      </c>
      <c r="J14" s="62"/>
      <c r="K14" s="62"/>
      <c r="L14" s="62"/>
      <c r="M14" s="62"/>
      <c r="N14" s="221"/>
      <c r="O14" s="62"/>
      <c r="P14" s="221"/>
    </row>
    <row r="15" spans="1:16" s="148" customFormat="1" ht="32.25" customHeight="1">
      <c r="A15" s="196"/>
      <c r="C15" s="38" t="s">
        <v>222</v>
      </c>
      <c r="D15" s="14" t="s">
        <v>14</v>
      </c>
      <c r="E15" s="229">
        <v>165365.5</v>
      </c>
      <c r="F15" s="229">
        <v>632272.80000000005</v>
      </c>
      <c r="G15" s="229">
        <f>E15+F15</f>
        <v>797638.3</v>
      </c>
      <c r="H15" s="5" t="s">
        <v>15</v>
      </c>
      <c r="I15" s="37" t="s">
        <v>13</v>
      </c>
      <c r="L15" s="62"/>
      <c r="N15" s="221"/>
      <c r="O15" s="149"/>
      <c r="P15" s="221"/>
    </row>
    <row r="16" spans="1:16" s="148" customFormat="1" ht="32.25" customHeight="1">
      <c r="A16" s="196"/>
      <c r="C16" s="38" t="s">
        <v>223</v>
      </c>
      <c r="D16" s="14" t="s">
        <v>17</v>
      </c>
      <c r="E16" s="229">
        <v>6777</v>
      </c>
      <c r="F16" s="229">
        <v>15045965.1</v>
      </c>
      <c r="G16" s="229">
        <f>E16+F16</f>
        <v>15052742.1</v>
      </c>
      <c r="H16" s="5" t="s">
        <v>18</v>
      </c>
      <c r="I16" s="37" t="s">
        <v>16</v>
      </c>
      <c r="L16" s="62"/>
      <c r="N16" s="221"/>
      <c r="O16" s="149"/>
      <c r="P16" s="221"/>
    </row>
    <row r="17" spans="1:16" ht="32.25" customHeight="1">
      <c r="A17" s="195"/>
      <c r="C17" s="40" t="s">
        <v>19</v>
      </c>
      <c r="D17" s="45" t="s">
        <v>20</v>
      </c>
      <c r="E17" s="229">
        <f>E19</f>
        <v>2166400.5</v>
      </c>
      <c r="F17" s="229">
        <f>F19</f>
        <v>4830006.4000000004</v>
      </c>
      <c r="G17" s="229">
        <f>G19</f>
        <v>6996406.9000000004</v>
      </c>
      <c r="H17" s="5" t="s">
        <v>21</v>
      </c>
      <c r="I17" s="42" t="s">
        <v>19</v>
      </c>
      <c r="J17" s="62"/>
      <c r="K17" s="62"/>
      <c r="L17" s="62"/>
      <c r="M17" s="62"/>
      <c r="N17" s="221"/>
      <c r="O17" s="62"/>
      <c r="P17" s="221"/>
    </row>
    <row r="18" spans="1:16" ht="32.25" customHeight="1">
      <c r="A18" s="195"/>
      <c r="C18" s="40" t="s">
        <v>224</v>
      </c>
      <c r="D18" s="45" t="s">
        <v>92</v>
      </c>
      <c r="E18" s="229">
        <v>0</v>
      </c>
      <c r="F18" s="229">
        <v>0</v>
      </c>
      <c r="G18" s="229">
        <v>0</v>
      </c>
      <c r="H18" s="5" t="s">
        <v>91</v>
      </c>
      <c r="I18" s="42" t="s">
        <v>22</v>
      </c>
      <c r="L18" s="62"/>
      <c r="N18" s="221"/>
      <c r="O18" s="62"/>
      <c r="P18" s="221"/>
    </row>
    <row r="19" spans="1:16" ht="32.25" customHeight="1" thickBot="1">
      <c r="A19" s="195"/>
      <c r="C19" s="43" t="s">
        <v>225</v>
      </c>
      <c r="D19" s="46" t="s">
        <v>24</v>
      </c>
      <c r="E19" s="230">
        <v>2166400.5</v>
      </c>
      <c r="F19" s="230">
        <v>4830006.4000000004</v>
      </c>
      <c r="G19" s="229">
        <f>E19+F19</f>
        <v>6996406.9000000004</v>
      </c>
      <c r="H19" s="15" t="s">
        <v>72</v>
      </c>
      <c r="I19" s="44" t="s">
        <v>23</v>
      </c>
      <c r="L19" s="62"/>
      <c r="N19" s="221"/>
      <c r="O19" s="62"/>
      <c r="P19" s="221"/>
    </row>
    <row r="20" spans="1:16" ht="32.25" customHeight="1" thickBot="1">
      <c r="A20" s="195"/>
      <c r="C20" s="412" t="s">
        <v>26</v>
      </c>
      <c r="D20" s="412"/>
      <c r="E20" s="231">
        <f>E5+E8++E9+E10+E11+E12+E13+E15+E16+E19</f>
        <v>25814711.199999999</v>
      </c>
      <c r="F20" s="231">
        <f>F5+F8+F9+F10+F11+F12+F13+F15+F16+F19</f>
        <v>60901768.699999996</v>
      </c>
      <c r="G20" s="231">
        <f>G5+G8+G9+G10+G11+G12+G13+G15+G16+G19</f>
        <v>86716479.900000006</v>
      </c>
      <c r="H20" s="411" t="s">
        <v>27</v>
      </c>
      <c r="I20" s="411"/>
      <c r="L20" s="62"/>
      <c r="N20" s="221"/>
      <c r="O20" s="62"/>
      <c r="P20" s="221"/>
    </row>
    <row r="21" spans="1:16" ht="13.5" thickTop="1">
      <c r="A21" s="195"/>
      <c r="C21" s="232"/>
      <c r="D21" s="232"/>
      <c r="E21" s="233"/>
      <c r="F21" s="233"/>
      <c r="G21" s="233"/>
      <c r="H21" s="232"/>
      <c r="I21" s="232"/>
    </row>
    <row r="22" spans="1:16" ht="17.25">
      <c r="A22" s="197">
        <v>21</v>
      </c>
      <c r="C22" s="234"/>
      <c r="D22" s="235"/>
      <c r="E22" s="236"/>
      <c r="F22" s="236"/>
      <c r="G22" s="236"/>
      <c r="H22" s="235"/>
      <c r="I22" s="235"/>
    </row>
    <row r="23" spans="1:16">
      <c r="C23" s="61"/>
      <c r="D23" s="151"/>
      <c r="E23" s="151"/>
      <c r="F23" s="151"/>
      <c r="G23" s="173"/>
      <c r="H23" s="151"/>
    </row>
    <row r="24" spans="1:16">
      <c r="C24" s="61"/>
      <c r="E24" s="312"/>
      <c r="F24" s="312"/>
      <c r="G24" s="312"/>
    </row>
    <row r="25" spans="1:16">
      <c r="C25" s="61"/>
      <c r="E25" s="70"/>
      <c r="F25" s="70"/>
      <c r="G25" s="70"/>
      <c r="O25" s="62"/>
    </row>
    <row r="26" spans="1:16">
      <c r="E26" s="170"/>
      <c r="F26" s="170"/>
      <c r="G26" s="170"/>
    </row>
    <row r="27" spans="1:16">
      <c r="E27" s="171"/>
      <c r="F27" s="171"/>
      <c r="G27" s="171"/>
    </row>
    <row r="28" spans="1:16">
      <c r="E28" s="170"/>
      <c r="F28" s="170"/>
      <c r="G28" s="170"/>
    </row>
    <row r="29" spans="1:16">
      <c r="E29" s="170"/>
      <c r="F29" s="170"/>
      <c r="G29" s="170"/>
    </row>
    <row r="30" spans="1:16">
      <c r="E30" s="170"/>
      <c r="F30" s="170"/>
      <c r="G30" s="170"/>
    </row>
    <row r="31" spans="1:16">
      <c r="E31" s="171"/>
      <c r="F31" s="171"/>
      <c r="G31" s="171"/>
    </row>
    <row r="32" spans="1:16">
      <c r="E32" s="171"/>
      <c r="F32" s="171"/>
      <c r="G32" s="171"/>
    </row>
    <row r="33" spans="5:7">
      <c r="E33" s="171"/>
      <c r="F33" s="171"/>
      <c r="G33" s="171"/>
    </row>
    <row r="52" spans="4:14" ht="15.75">
      <c r="D52" s="364"/>
      <c r="E52" s="364"/>
      <c r="F52" s="364"/>
      <c r="G52" s="364"/>
      <c r="H52" s="364"/>
      <c r="I52" s="364"/>
      <c r="J52" s="364"/>
      <c r="K52" s="309"/>
      <c r="L52" s="309"/>
      <c r="M52" s="309"/>
      <c r="N52" s="309"/>
    </row>
    <row r="53" spans="4:14" ht="30" customHeight="1">
      <c r="D53" s="417"/>
      <c r="E53" s="417"/>
      <c r="F53" s="417"/>
      <c r="G53" s="417"/>
      <c r="H53" s="417"/>
      <c r="I53" s="417"/>
      <c r="J53" s="417"/>
      <c r="K53" s="310"/>
      <c r="L53" s="310"/>
      <c r="M53" s="310"/>
      <c r="N53" s="310"/>
    </row>
    <row r="58" spans="4:14">
      <c r="D58" s="422"/>
      <c r="E58" s="422"/>
      <c r="F58" s="422"/>
      <c r="G58" s="422"/>
      <c r="H58" s="422"/>
      <c r="I58" s="422"/>
      <c r="J58" s="422"/>
      <c r="K58" s="311"/>
      <c r="L58" s="311"/>
      <c r="M58" s="311"/>
      <c r="N58" s="311"/>
    </row>
  </sheetData>
  <mergeCells count="12">
    <mergeCell ref="D58:J58"/>
    <mergeCell ref="D52:J52"/>
    <mergeCell ref="D53:J53"/>
    <mergeCell ref="H20:I20"/>
    <mergeCell ref="C20:D20"/>
    <mergeCell ref="A1:A10"/>
    <mergeCell ref="C1:I1"/>
    <mergeCell ref="C2:I2"/>
    <mergeCell ref="H3:H4"/>
    <mergeCell ref="I3:I4"/>
    <mergeCell ref="C3:C4"/>
    <mergeCell ref="D3:D4"/>
  </mergeCells>
  <phoneticPr fontId="2" type="noConversion"/>
  <printOptions horizontalCentered="1" verticalCentered="1"/>
  <pageMargins left="0.196850393700787" right="0.196850393700787" top="0.33" bottom="0.34" header="0.2" footer="0.2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2"/>
  <sheetViews>
    <sheetView rightToLeft="1" view="pageBreakPreview" topLeftCell="A10" zoomScaleSheetLayoutView="100" workbookViewId="0">
      <selection activeCell="A29" sqref="A29"/>
    </sheetView>
  </sheetViews>
  <sheetFormatPr defaultRowHeight="12.75"/>
  <cols>
    <col min="1" max="1" width="4.5703125" customWidth="1"/>
    <col min="2" max="2" width="5.42578125" customWidth="1"/>
    <col min="3" max="3" width="43.28515625" customWidth="1"/>
    <col min="4" max="6" width="16.85546875" customWidth="1"/>
    <col min="7" max="7" width="39.28515625" customWidth="1"/>
  </cols>
  <sheetData>
    <row r="1" spans="1:7">
      <c r="A1" s="184"/>
    </row>
    <row r="2" spans="1:7" ht="24" customHeight="1">
      <c r="A2" s="358" t="s">
        <v>217</v>
      </c>
      <c r="C2" s="355"/>
      <c r="D2" s="355"/>
      <c r="E2" s="355"/>
      <c r="F2" s="355"/>
      <c r="G2" s="355"/>
    </row>
    <row r="3" spans="1:7" ht="45" customHeight="1">
      <c r="A3" s="358"/>
      <c r="C3" s="356" t="s">
        <v>226</v>
      </c>
      <c r="D3" s="356"/>
      <c r="E3" s="356"/>
      <c r="F3" s="356"/>
      <c r="G3" s="356"/>
    </row>
    <row r="4" spans="1:7" ht="45" customHeight="1" thickBot="1">
      <c r="A4" s="358"/>
      <c r="C4" s="357" t="s">
        <v>248</v>
      </c>
      <c r="D4" s="357"/>
      <c r="E4" s="357"/>
      <c r="F4" s="357"/>
      <c r="G4" s="357"/>
    </row>
    <row r="5" spans="1:7" ht="51" customHeight="1" thickTop="1" thickBot="1">
      <c r="A5" s="358"/>
      <c r="C5" s="291" t="s">
        <v>31</v>
      </c>
      <c r="D5" s="291">
        <v>2016</v>
      </c>
      <c r="E5" s="291">
        <v>2017</v>
      </c>
      <c r="F5" s="292" t="s">
        <v>218</v>
      </c>
      <c r="G5" s="291" t="s">
        <v>32</v>
      </c>
    </row>
    <row r="6" spans="1:7" ht="48.75" customHeight="1">
      <c r="A6" s="358"/>
      <c r="C6" s="293" t="s">
        <v>173</v>
      </c>
      <c r="D6" s="294">
        <v>186397.3</v>
      </c>
      <c r="E6" s="295">
        <v>211525.3</v>
      </c>
      <c r="F6" s="346">
        <f t="shared" ref="F6:F12" si="0">((E6/D6)-1)*100</f>
        <v>13.480881965564961</v>
      </c>
      <c r="G6" s="296" t="s">
        <v>178</v>
      </c>
    </row>
    <row r="7" spans="1:7" ht="48.75" customHeight="1">
      <c r="A7" s="358"/>
      <c r="C7" s="297" t="s">
        <v>174</v>
      </c>
      <c r="D7" s="298">
        <v>5153.5</v>
      </c>
      <c r="E7" s="299">
        <v>5695.4</v>
      </c>
      <c r="F7" s="347">
        <f t="shared" si="0"/>
        <v>10.515183855632081</v>
      </c>
      <c r="G7" s="59" t="s">
        <v>179</v>
      </c>
    </row>
    <row r="8" spans="1:7" ht="48.75" customHeight="1">
      <c r="A8" s="358"/>
      <c r="C8" s="297" t="s">
        <v>175</v>
      </c>
      <c r="D8" s="37">
        <v>196924.1</v>
      </c>
      <c r="E8" s="299">
        <v>221665.7</v>
      </c>
      <c r="F8" s="347">
        <f t="shared" si="0"/>
        <v>12.564028475945822</v>
      </c>
      <c r="G8" s="59" t="s">
        <v>180</v>
      </c>
    </row>
    <row r="9" spans="1:7" ht="48.75" customHeight="1">
      <c r="A9" s="358"/>
      <c r="C9" s="297" t="s">
        <v>176</v>
      </c>
      <c r="D9" s="298">
        <v>166.6</v>
      </c>
      <c r="E9" s="299">
        <v>187.5</v>
      </c>
      <c r="F9" s="347">
        <f t="shared" si="0"/>
        <v>12.545018007202891</v>
      </c>
      <c r="G9" s="59" t="s">
        <v>181</v>
      </c>
    </row>
    <row r="10" spans="1:7" ht="48.75" customHeight="1">
      <c r="A10" s="184"/>
      <c r="C10" s="297" t="s">
        <v>177</v>
      </c>
      <c r="D10" s="298">
        <v>5444.5</v>
      </c>
      <c r="E10" s="299">
        <v>5968.5</v>
      </c>
      <c r="F10" s="347">
        <f>((E10/D10)-1)*100</f>
        <v>9.6243915878409414</v>
      </c>
      <c r="G10" s="47" t="s">
        <v>182</v>
      </c>
    </row>
    <row r="11" spans="1:7" ht="48.75" customHeight="1">
      <c r="A11" s="184"/>
      <c r="C11" s="297" t="s">
        <v>250</v>
      </c>
      <c r="D11" s="298">
        <v>4.5999999999999996</v>
      </c>
      <c r="E11" s="299">
        <v>5</v>
      </c>
      <c r="F11" s="347">
        <f>((E11/D11)-1)*100</f>
        <v>8.6956521739130608</v>
      </c>
      <c r="G11" s="47" t="s">
        <v>183</v>
      </c>
    </row>
    <row r="12" spans="1:7" ht="48.75" customHeight="1" thickBot="1">
      <c r="A12" s="184"/>
      <c r="C12" s="300" t="s">
        <v>212</v>
      </c>
      <c r="D12" s="301">
        <v>208932.1</v>
      </c>
      <c r="E12" s="302">
        <v>205130.1</v>
      </c>
      <c r="F12" s="348">
        <f t="shared" si="0"/>
        <v>-1.8197299505437359</v>
      </c>
      <c r="G12" s="303" t="s">
        <v>213</v>
      </c>
    </row>
    <row r="13" spans="1:7" ht="42.75" customHeight="1">
      <c r="A13" s="185">
        <v>6</v>
      </c>
      <c r="C13" s="128"/>
      <c r="D13" s="128"/>
      <c r="E13" s="128"/>
      <c r="F13" s="130"/>
      <c r="G13" s="131"/>
    </row>
    <row r="14" spans="1:7">
      <c r="A14" s="184"/>
      <c r="D14" s="160"/>
      <c r="E14" s="160"/>
      <c r="F14" s="124"/>
    </row>
    <row r="18" spans="3:5">
      <c r="E18">
        <v>221665709.50000003</v>
      </c>
    </row>
    <row r="19" spans="3:5">
      <c r="C19">
        <v>196924141.70000002</v>
      </c>
      <c r="D19">
        <v>5444537.3668584675</v>
      </c>
      <c r="E19">
        <f>E18/1182</f>
        <v>187534.44120135365</v>
      </c>
    </row>
    <row r="20" spans="3:5">
      <c r="E20">
        <f>E18/1000</f>
        <v>221665.70950000003</v>
      </c>
    </row>
    <row r="22" spans="3:5">
      <c r="C22">
        <f>C19/1182</f>
        <v>166602.48874788496</v>
      </c>
    </row>
  </sheetData>
  <mergeCells count="4">
    <mergeCell ref="C2:G2"/>
    <mergeCell ref="C3:G3"/>
    <mergeCell ref="C4:G4"/>
    <mergeCell ref="A2:A9"/>
  </mergeCells>
  <printOptions horizontalCentered="1" verticalCentered="1"/>
  <pageMargins left="0.39" right="0.23622047244094499" top="0.196850393700787" bottom="0.23622047244094499" header="0.35433070866141703" footer="0.23622047244094499"/>
  <pageSetup scale="94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J35"/>
  <sheetViews>
    <sheetView rightToLeft="1" view="pageBreakPreview" topLeftCell="A4" zoomScaleSheetLayoutView="100" workbookViewId="0">
      <selection activeCell="A29" sqref="A29"/>
    </sheetView>
  </sheetViews>
  <sheetFormatPr defaultRowHeight="12.75"/>
  <cols>
    <col min="1" max="1" width="4.7109375" customWidth="1"/>
    <col min="2" max="2" width="6.28515625" customWidth="1"/>
    <col min="3" max="3" width="24.7109375" bestFit="1" customWidth="1"/>
    <col min="4" max="4" width="19.28515625" customWidth="1"/>
    <col min="5" max="5" width="17.140625" customWidth="1"/>
    <col min="6" max="6" width="16.42578125" bestFit="1" customWidth="1"/>
    <col min="7" max="7" width="39.7109375" customWidth="1"/>
    <col min="8" max="8" width="14" customWidth="1"/>
    <col min="9" max="9" width="10" bestFit="1" customWidth="1"/>
  </cols>
  <sheetData>
    <row r="1" spans="1:10" ht="5.25" customHeight="1"/>
    <row r="2" spans="1:10" ht="39.75" customHeight="1">
      <c r="A2" s="358" t="s">
        <v>217</v>
      </c>
      <c r="C2" s="128"/>
      <c r="D2" s="129"/>
      <c r="E2" s="130"/>
      <c r="F2" s="130"/>
      <c r="G2" s="131"/>
    </row>
    <row r="3" spans="1:10" ht="41.25" customHeight="1">
      <c r="A3" s="358"/>
      <c r="C3" s="359" t="s">
        <v>241</v>
      </c>
      <c r="D3" s="359"/>
      <c r="E3" s="360"/>
      <c r="F3" s="360"/>
      <c r="G3" s="359"/>
    </row>
    <row r="4" spans="1:10" ht="41.25" customHeight="1" thickBot="1">
      <c r="A4" s="358"/>
      <c r="C4" s="361" t="s">
        <v>249</v>
      </c>
      <c r="D4" s="361"/>
      <c r="E4" s="362"/>
      <c r="F4" s="362"/>
      <c r="G4" s="361"/>
    </row>
    <row r="5" spans="1:10" ht="53.25" customHeight="1" thickTop="1" thickBot="1">
      <c r="A5" s="358"/>
      <c r="C5" s="276" t="s">
        <v>31</v>
      </c>
      <c r="D5" s="277">
        <v>2016</v>
      </c>
      <c r="E5" s="278">
        <v>2017</v>
      </c>
      <c r="F5" s="279" t="s">
        <v>219</v>
      </c>
      <c r="G5" s="278" t="s">
        <v>32</v>
      </c>
    </row>
    <row r="6" spans="1:10" ht="53.25" customHeight="1">
      <c r="A6" s="358"/>
      <c r="C6" s="54" t="s">
        <v>33</v>
      </c>
      <c r="D6" s="280">
        <v>65455.5</v>
      </c>
      <c r="E6" s="305">
        <v>66617.100000000006</v>
      </c>
      <c r="F6" s="265">
        <f t="shared" ref="F6:F11" si="0">((E6/D6)-1)*100</f>
        <v>1.7746407864885461</v>
      </c>
      <c r="G6" s="266" t="s">
        <v>34</v>
      </c>
      <c r="H6">
        <v>66617067.399999999</v>
      </c>
      <c r="I6">
        <v>155048642.09999999</v>
      </c>
      <c r="J6">
        <f>H6/1000</f>
        <v>66617.0674</v>
      </c>
    </row>
    <row r="7" spans="1:10" ht="53.25" customHeight="1">
      <c r="A7" s="358"/>
      <c r="C7" s="45" t="s">
        <v>35</v>
      </c>
      <c r="D7" s="281">
        <v>112405.7</v>
      </c>
      <c r="E7" s="267">
        <v>132566.6</v>
      </c>
      <c r="F7" s="282">
        <f t="shared" si="0"/>
        <v>17.935834214812949</v>
      </c>
      <c r="G7" s="269" t="s">
        <v>36</v>
      </c>
      <c r="H7">
        <f>I6-H8</f>
        <v>132566588.9955</v>
      </c>
      <c r="I7">
        <v>14.5</v>
      </c>
      <c r="J7">
        <f t="shared" ref="J7:J8" si="1">H7/1000</f>
        <v>132566.5889955</v>
      </c>
    </row>
    <row r="8" spans="1:10" ht="53.25" customHeight="1">
      <c r="A8" s="358"/>
      <c r="C8" s="45" t="s">
        <v>37</v>
      </c>
      <c r="D8" s="281">
        <v>19062.900000000001</v>
      </c>
      <c r="E8" s="267">
        <v>22482</v>
      </c>
      <c r="F8" s="282">
        <f t="shared" si="0"/>
        <v>17.935885935508232</v>
      </c>
      <c r="G8" s="269" t="s">
        <v>38</v>
      </c>
      <c r="H8">
        <f>I6*I7/100</f>
        <v>22482053.104499999</v>
      </c>
      <c r="J8">
        <f t="shared" si="1"/>
        <v>22482.053104499999</v>
      </c>
    </row>
    <row r="9" spans="1:10" ht="53.25" customHeight="1">
      <c r="A9" s="358"/>
      <c r="C9" s="45" t="s">
        <v>39</v>
      </c>
      <c r="D9" s="281">
        <v>1971</v>
      </c>
      <c r="E9" s="267">
        <v>2557.4</v>
      </c>
      <c r="F9" s="282">
        <f t="shared" si="0"/>
        <v>29.751395230847287</v>
      </c>
      <c r="G9" s="269" t="s">
        <v>40</v>
      </c>
      <c r="H9">
        <v>2557388.1</v>
      </c>
      <c r="I9" s="123">
        <f>E6+E7+E8</f>
        <v>221665.7</v>
      </c>
    </row>
    <row r="10" spans="1:10" ht="53.25" customHeight="1" thickBot="1">
      <c r="A10" s="184"/>
      <c r="C10" s="283" t="s">
        <v>41</v>
      </c>
      <c r="D10" s="284">
        <v>12352.4</v>
      </c>
      <c r="E10" s="284">
        <v>16602</v>
      </c>
      <c r="F10" s="285">
        <f t="shared" si="0"/>
        <v>34.403030989929093</v>
      </c>
      <c r="G10" s="286" t="s">
        <v>42</v>
      </c>
      <c r="H10">
        <v>16601964.1</v>
      </c>
    </row>
    <row r="11" spans="1:10" ht="53.25" customHeight="1" thickBot="1">
      <c r="A11" s="185">
        <v>7</v>
      </c>
      <c r="C11" s="287" t="s">
        <v>43</v>
      </c>
      <c r="D11" s="288">
        <f>D6+D7+D8+D9-D10</f>
        <v>186542.7</v>
      </c>
      <c r="E11" s="306">
        <f>E6+E7+E8+E9-E10</f>
        <v>207621.1</v>
      </c>
      <c r="F11" s="289">
        <f t="shared" si="0"/>
        <v>11.29950408137117</v>
      </c>
      <c r="G11" s="290" t="s">
        <v>44</v>
      </c>
    </row>
    <row r="12" spans="1:10" ht="32.25" customHeight="1">
      <c r="A12" s="184"/>
      <c r="C12" s="321"/>
      <c r="D12" s="176"/>
      <c r="E12" s="176"/>
      <c r="F12" s="177"/>
      <c r="G12" s="322"/>
    </row>
    <row r="13" spans="1:10" ht="32.25" customHeight="1">
      <c r="A13" s="184"/>
      <c r="C13" s="323"/>
      <c r="E13" s="123">
        <f>E6+E7+E8</f>
        <v>221665.7</v>
      </c>
      <c r="F13" s="324"/>
      <c r="G13" s="325"/>
    </row>
    <row r="14" spans="1:10" ht="32.25" customHeight="1">
      <c r="A14" s="184"/>
      <c r="C14" s="323"/>
      <c r="F14" s="119"/>
      <c r="G14" s="325"/>
    </row>
    <row r="15" spans="1:10" ht="32.25" customHeight="1">
      <c r="A15" s="184"/>
      <c r="C15" s="323"/>
      <c r="D15" s="327"/>
      <c r="E15" s="119"/>
      <c r="F15" s="119"/>
      <c r="G15" s="325"/>
    </row>
    <row r="16" spans="1:10" ht="32.25" customHeight="1">
      <c r="A16" s="184"/>
      <c r="C16" s="323"/>
      <c r="D16" s="138"/>
      <c r="E16" s="324"/>
      <c r="F16" s="324"/>
      <c r="G16" s="325"/>
    </row>
    <row r="17" spans="1:7" ht="32.25" customHeight="1">
      <c r="A17" s="184"/>
      <c r="C17" s="323"/>
      <c r="D17" s="138"/>
      <c r="E17" s="324"/>
      <c r="F17" s="324"/>
      <c r="G17" s="325"/>
    </row>
    <row r="18" spans="1:7" ht="28.5" customHeight="1">
      <c r="A18" s="185">
        <v>6</v>
      </c>
      <c r="C18" s="323"/>
      <c r="D18" s="138"/>
      <c r="E18" s="138"/>
      <c r="F18" s="138"/>
      <c r="G18" s="325"/>
    </row>
    <row r="19" spans="1:7">
      <c r="A19" s="185"/>
      <c r="C19" s="326"/>
      <c r="D19" s="326"/>
      <c r="E19" s="21"/>
      <c r="F19" s="6"/>
      <c r="G19" s="6"/>
    </row>
    <row r="20" spans="1:7">
      <c r="A20" s="184"/>
      <c r="C20" s="6"/>
      <c r="D20" s="132"/>
      <c r="E20" s="21"/>
      <c r="F20" s="6"/>
      <c r="G20" s="6"/>
    </row>
    <row r="21" spans="1:7" ht="15.75">
      <c r="D21" s="132"/>
      <c r="E21" s="127"/>
      <c r="F21" s="123"/>
    </row>
    <row r="22" spans="1:7">
      <c r="C22">
        <v>165649406.90000001</v>
      </c>
      <c r="D22" s="132"/>
      <c r="E22" s="6"/>
    </row>
    <row r="23" spans="1:7">
      <c r="C23" s="123"/>
      <c r="D23" s="123"/>
      <c r="E23" s="123"/>
    </row>
    <row r="24" spans="1:7">
      <c r="D24" s="123"/>
      <c r="E24" s="123"/>
    </row>
    <row r="28" spans="1:7">
      <c r="E28" s="123"/>
    </row>
    <row r="29" spans="1:7">
      <c r="E29" s="123"/>
    </row>
    <row r="35" spans="5:5">
      <c r="E35" s="123"/>
    </row>
  </sheetData>
  <mergeCells count="3">
    <mergeCell ref="A2:A9"/>
    <mergeCell ref="C3:G3"/>
    <mergeCell ref="C4:G4"/>
  </mergeCells>
  <printOptions horizontalCentered="1" verticalCentered="1"/>
  <pageMargins left="0.196850393700787" right="0.24" top="0.3" bottom="0.23622047244094499" header="0.42" footer="0.23622047244094499"/>
  <pageSetup scale="10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H39"/>
  <sheetViews>
    <sheetView rightToLeft="1" view="pageBreakPreview" topLeftCell="B1" zoomScale="120" zoomScaleSheetLayoutView="120" workbookViewId="0">
      <selection activeCell="F6" sqref="F6"/>
    </sheetView>
  </sheetViews>
  <sheetFormatPr defaultRowHeight="12.75"/>
  <cols>
    <col min="1" max="1" width="17.28515625" customWidth="1"/>
    <col min="2" max="2" width="17.140625" customWidth="1"/>
    <col min="3" max="3" width="15.42578125" customWidth="1"/>
    <col min="4" max="4" width="33.28515625" customWidth="1"/>
    <col min="6" max="8" width="15" customWidth="1"/>
  </cols>
  <sheetData>
    <row r="1" spans="1:8" ht="45.75" customHeight="1">
      <c r="A1" s="363" t="s">
        <v>239</v>
      </c>
      <c r="B1" s="364"/>
      <c r="C1" s="364"/>
      <c r="D1" s="364"/>
    </row>
    <row r="2" spans="1:8" ht="63" customHeight="1" thickBot="1">
      <c r="A2" s="357" t="s">
        <v>240</v>
      </c>
      <c r="B2" s="365"/>
      <c r="C2" s="365"/>
      <c r="D2" s="365"/>
    </row>
    <row r="3" spans="1:8" ht="26.25" customHeight="1" thickTop="1">
      <c r="A3" s="368" t="s">
        <v>46</v>
      </c>
      <c r="B3" s="366">
        <v>2017</v>
      </c>
      <c r="C3" s="225" t="s">
        <v>93</v>
      </c>
      <c r="D3" s="370" t="s">
        <v>47</v>
      </c>
    </row>
    <row r="4" spans="1:8" ht="30" customHeight="1" thickBot="1">
      <c r="A4" s="369"/>
      <c r="B4" s="367"/>
      <c r="C4" s="226" t="s">
        <v>94</v>
      </c>
      <c r="D4" s="371"/>
    </row>
    <row r="5" spans="1:8" ht="24" customHeight="1">
      <c r="A5" s="54" t="s">
        <v>77</v>
      </c>
      <c r="B5" s="264">
        <v>120378.7</v>
      </c>
      <c r="C5" s="265">
        <v>53.59</v>
      </c>
      <c r="D5" s="266" t="s">
        <v>81</v>
      </c>
      <c r="F5" s="320"/>
      <c r="G5" s="320"/>
      <c r="H5" s="320"/>
    </row>
    <row r="6" spans="1:8" ht="24" customHeight="1">
      <c r="A6" s="45" t="s">
        <v>78</v>
      </c>
      <c r="B6" s="267">
        <v>48191.6</v>
      </c>
      <c r="C6" s="268">
        <v>21.45</v>
      </c>
      <c r="D6" s="269" t="s">
        <v>82</v>
      </c>
      <c r="F6" s="320"/>
      <c r="G6" s="320"/>
      <c r="H6" s="320"/>
    </row>
    <row r="7" spans="1:8" ht="24" customHeight="1" thickBot="1">
      <c r="A7" s="46" t="s">
        <v>79</v>
      </c>
      <c r="B7" s="267">
        <v>56066</v>
      </c>
      <c r="C7" s="270">
        <v>24.96</v>
      </c>
      <c r="D7" s="271" t="s">
        <v>83</v>
      </c>
      <c r="F7" s="319"/>
      <c r="G7" s="320"/>
      <c r="H7" s="319"/>
    </row>
    <row r="8" spans="1:8" ht="24" customHeight="1" thickBot="1">
      <c r="A8" s="272" t="s">
        <v>80</v>
      </c>
      <c r="B8" s="273">
        <f>B5+B6+B7</f>
        <v>224636.3</v>
      </c>
      <c r="C8" s="274">
        <f>SUM(C5:C7)</f>
        <v>100</v>
      </c>
      <c r="D8" s="275" t="s">
        <v>84</v>
      </c>
      <c r="F8" s="67"/>
    </row>
    <row r="9" spans="1:8" ht="24" customHeight="1" thickTop="1">
      <c r="A9" s="69"/>
      <c r="B9" s="64"/>
      <c r="C9" s="224"/>
      <c r="D9" s="65"/>
      <c r="F9" s="67"/>
    </row>
    <row r="10" spans="1:8" ht="15" customHeight="1">
      <c r="A10" s="69"/>
      <c r="B10" s="64"/>
      <c r="C10" s="64"/>
      <c r="D10" s="65"/>
      <c r="F10" s="67"/>
    </row>
    <row r="11" spans="1:8" ht="15" customHeight="1">
      <c r="A11" s="16"/>
      <c r="B11" s="66"/>
      <c r="C11" s="16"/>
      <c r="D11" s="16"/>
      <c r="F11" s="67"/>
    </row>
    <row r="12" spans="1:8" ht="15" customHeight="1">
      <c r="A12" s="16"/>
      <c r="B12" s="66"/>
      <c r="C12" s="16"/>
      <c r="D12" s="16"/>
      <c r="F12" s="67"/>
    </row>
    <row r="13" spans="1:8" ht="15" customHeight="1">
      <c r="A13" s="16"/>
      <c r="B13" s="66"/>
      <c r="C13" s="16"/>
      <c r="D13" s="16"/>
      <c r="F13" s="67"/>
    </row>
    <row r="14" spans="1:8" ht="15" customHeight="1">
      <c r="A14" s="16"/>
      <c r="B14" s="66"/>
      <c r="C14" s="16"/>
      <c r="D14" s="16"/>
      <c r="F14" s="67"/>
    </row>
    <row r="15" spans="1:8" ht="15" customHeight="1">
      <c r="A15" s="16"/>
      <c r="B15" s="66"/>
      <c r="C15" s="16"/>
      <c r="D15" s="16"/>
      <c r="F15" s="67"/>
    </row>
    <row r="16" spans="1:8" ht="15" customHeight="1">
      <c r="A16" s="16"/>
      <c r="B16" s="66"/>
      <c r="C16" s="16"/>
      <c r="D16" s="16"/>
      <c r="F16" s="67"/>
    </row>
    <row r="17" spans="1:6" ht="15" customHeight="1">
      <c r="A17" s="16"/>
      <c r="B17" s="16"/>
      <c r="C17" s="16"/>
      <c r="D17" s="16"/>
    </row>
    <row r="18" spans="1:6" ht="15" customHeight="1">
      <c r="A18" s="16"/>
      <c r="B18" s="16"/>
      <c r="C18" s="16"/>
      <c r="D18" s="16"/>
    </row>
    <row r="19" spans="1:6" ht="15" customHeight="1">
      <c r="A19" s="16"/>
      <c r="B19" s="16"/>
      <c r="C19" s="16"/>
      <c r="D19" s="16"/>
    </row>
    <row r="20" spans="1:6" ht="15" customHeight="1">
      <c r="A20" s="16"/>
      <c r="B20" s="16"/>
      <c r="C20" s="16"/>
      <c r="D20" s="16"/>
    </row>
    <row r="21" spans="1:6" ht="15" customHeight="1">
      <c r="A21" s="16"/>
      <c r="B21" s="16"/>
      <c r="C21" s="16"/>
      <c r="D21" s="16"/>
    </row>
    <row r="22" spans="1:6" ht="15" customHeight="1">
      <c r="A22" s="16"/>
      <c r="B22" s="16"/>
      <c r="C22" s="16"/>
      <c r="D22" s="16"/>
    </row>
    <row r="23" spans="1:6" ht="15" customHeight="1">
      <c r="A23" s="16"/>
      <c r="B23" s="16"/>
      <c r="C23" s="16"/>
      <c r="D23" s="16"/>
      <c r="F23" s="162"/>
    </row>
    <row r="24" spans="1:6" ht="15" customHeight="1"/>
    <row r="25" spans="1:6" ht="15" customHeight="1"/>
    <row r="26" spans="1:6" ht="15" customHeight="1"/>
    <row r="27" spans="1:6" ht="18" customHeight="1"/>
    <row r="28" spans="1:6" ht="18" customHeight="1"/>
    <row r="29" spans="1:6" ht="18" customHeight="1"/>
    <row r="30" spans="1:6" ht="18" customHeight="1"/>
    <row r="31" spans="1:6" ht="18" customHeight="1"/>
    <row r="32" spans="1:6" ht="18" customHeight="1"/>
    <row r="33" spans="1:4" ht="18" customHeight="1">
      <c r="A33" s="161"/>
      <c r="B33" s="161"/>
      <c r="C33" s="161"/>
      <c r="D33" s="161"/>
    </row>
    <row r="34" spans="1:4" ht="18" customHeight="1">
      <c r="A34" s="87"/>
      <c r="B34" s="87"/>
      <c r="C34" s="87"/>
      <c r="D34" s="87"/>
    </row>
    <row r="35" spans="1:4" ht="12.75" customHeight="1"/>
    <row r="36" spans="1:4" ht="12.75" customHeight="1"/>
    <row r="37" spans="1:4" ht="12.75" customHeight="1"/>
    <row r="38" spans="1:4" ht="9.75" customHeight="1"/>
    <row r="39" spans="1:4" ht="15" customHeight="1">
      <c r="A39" s="186" t="s">
        <v>217</v>
      </c>
      <c r="B39" s="187"/>
      <c r="C39" s="187"/>
      <c r="D39" s="188">
        <v>8</v>
      </c>
    </row>
  </sheetData>
  <mergeCells count="5">
    <mergeCell ref="A1:D1"/>
    <mergeCell ref="A2:D2"/>
    <mergeCell ref="B3:B4"/>
    <mergeCell ref="A3:A4"/>
    <mergeCell ref="D3:D4"/>
  </mergeCells>
  <phoneticPr fontId="2" type="noConversion"/>
  <printOptions horizontalCentered="1"/>
  <pageMargins left="0.31" right="0.56999999999999995" top="0.43" bottom="0.35" header="0.19" footer="0.24"/>
  <pageSetup paperSize="9" scale="10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P29"/>
  <sheetViews>
    <sheetView rightToLeft="1" tabSelected="1" view="pageBreakPreview" topLeftCell="A10" zoomScale="90" zoomScaleSheetLayoutView="90" workbookViewId="0">
      <selection activeCell="E8" sqref="E8"/>
    </sheetView>
  </sheetViews>
  <sheetFormatPr defaultRowHeight="12.75"/>
  <cols>
    <col min="1" max="1" width="5.28515625" style="1" customWidth="1"/>
    <col min="2" max="2" width="3.42578125" style="1" customWidth="1"/>
    <col min="3" max="3" width="6.140625" style="1" customWidth="1"/>
    <col min="4" max="4" width="35.7109375" style="1" customWidth="1"/>
    <col min="5" max="5" width="16.85546875" style="1" customWidth="1"/>
    <col min="6" max="6" width="9" style="1" customWidth="1"/>
    <col min="7" max="7" width="16.85546875" style="1" customWidth="1"/>
    <col min="8" max="8" width="9" style="1" customWidth="1"/>
    <col min="9" max="9" width="41.140625" style="1" customWidth="1"/>
    <col min="10" max="10" width="6.42578125" style="1" customWidth="1"/>
    <col min="11" max="11" width="11.5703125" style="1" bestFit="1" customWidth="1"/>
    <col min="12" max="14" width="9.140625" style="1"/>
    <col min="15" max="15" width="16" style="1" customWidth="1"/>
    <col min="16" max="16" width="15.7109375" style="1" customWidth="1"/>
    <col min="17" max="16384" width="9.140625" style="1"/>
  </cols>
  <sheetData>
    <row r="1" spans="1:16" s="107" customFormat="1" ht="34.5" customHeight="1">
      <c r="A1" s="358" t="s">
        <v>217</v>
      </c>
      <c r="C1" s="385" t="s">
        <v>251</v>
      </c>
      <c r="D1" s="385"/>
      <c r="E1" s="385"/>
      <c r="F1" s="385"/>
      <c r="G1" s="385"/>
      <c r="H1" s="385"/>
      <c r="I1" s="385"/>
      <c r="J1" s="385"/>
    </row>
    <row r="2" spans="1:16" s="107" customFormat="1" ht="33" customHeight="1" thickBot="1">
      <c r="A2" s="358"/>
      <c r="C2" s="386" t="s">
        <v>238</v>
      </c>
      <c r="D2" s="386"/>
      <c r="E2" s="386"/>
      <c r="F2" s="386"/>
      <c r="G2" s="386"/>
      <c r="H2" s="386"/>
      <c r="I2" s="386"/>
      <c r="J2" s="386"/>
    </row>
    <row r="3" spans="1:16" ht="30.75" customHeight="1" thickTop="1" thickBot="1">
      <c r="A3" s="358"/>
      <c r="C3" s="366" t="s">
        <v>45</v>
      </c>
      <c r="D3" s="366" t="s">
        <v>194</v>
      </c>
      <c r="E3" s="135" t="s">
        <v>85</v>
      </c>
      <c r="F3" s="135" t="s">
        <v>93</v>
      </c>
      <c r="G3" s="140" t="s">
        <v>209</v>
      </c>
      <c r="H3" s="140" t="s">
        <v>93</v>
      </c>
      <c r="I3" s="387" t="s">
        <v>102</v>
      </c>
      <c r="J3" s="387" t="s">
        <v>103</v>
      </c>
    </row>
    <row r="4" spans="1:16" ht="34.5" customHeight="1" thickBot="1">
      <c r="A4" s="358"/>
      <c r="C4" s="367"/>
      <c r="D4" s="367"/>
      <c r="E4" s="133" t="s">
        <v>97</v>
      </c>
      <c r="F4" s="134" t="s">
        <v>96</v>
      </c>
      <c r="G4" s="134" t="s">
        <v>211</v>
      </c>
      <c r="H4" s="134" t="s">
        <v>210</v>
      </c>
      <c r="I4" s="388"/>
      <c r="J4" s="388"/>
    </row>
    <row r="5" spans="1:16" ht="21.95" customHeight="1">
      <c r="A5" s="358"/>
      <c r="C5" s="10" t="s">
        <v>104</v>
      </c>
      <c r="D5" s="95" t="s">
        <v>193</v>
      </c>
      <c r="E5" s="155">
        <f>6598384.8-E6</f>
        <v>6347695.2999999998</v>
      </c>
      <c r="F5" s="209">
        <v>2.83</v>
      </c>
      <c r="G5" s="222">
        <v>3716449.3</v>
      </c>
      <c r="H5" s="337">
        <v>1.8</v>
      </c>
      <c r="I5" s="96" t="s">
        <v>105</v>
      </c>
      <c r="J5" s="76" t="s">
        <v>106</v>
      </c>
      <c r="K5" s="121"/>
      <c r="O5" s="307"/>
      <c r="P5" s="307"/>
    </row>
    <row r="6" spans="1:16" ht="21.95" customHeight="1">
      <c r="A6" s="358"/>
      <c r="C6" s="13" t="s">
        <v>107</v>
      </c>
      <c r="D6" s="97" t="s">
        <v>108</v>
      </c>
      <c r="E6" s="156">
        <v>250689.5</v>
      </c>
      <c r="F6" s="338">
        <v>0.11</v>
      </c>
      <c r="G6" s="339">
        <v>146773.70000000001</v>
      </c>
      <c r="H6" s="337">
        <v>7.0000000000000007E-2</v>
      </c>
      <c r="I6" s="98" t="s">
        <v>109</v>
      </c>
      <c r="J6" s="77" t="s">
        <v>110</v>
      </c>
      <c r="K6" s="121"/>
      <c r="L6" s="78"/>
      <c r="O6" s="307"/>
      <c r="P6" s="307"/>
    </row>
    <row r="7" spans="1:16" ht="21.95" customHeight="1">
      <c r="A7" s="358"/>
      <c r="C7" s="13" t="s">
        <v>111</v>
      </c>
      <c r="D7" s="97" t="s">
        <v>51</v>
      </c>
      <c r="E7" s="156">
        <f>E8+E9</f>
        <v>89065057.700000003</v>
      </c>
      <c r="F7" s="338">
        <f>F8+F9</f>
        <v>39.65</v>
      </c>
      <c r="G7" s="222">
        <f>G8+G9</f>
        <v>129839551.3</v>
      </c>
      <c r="H7" s="337">
        <f>H8+H9</f>
        <v>62.779999999999994</v>
      </c>
      <c r="I7" s="98" t="s">
        <v>52</v>
      </c>
      <c r="J7" s="77" t="s">
        <v>112</v>
      </c>
      <c r="K7" s="121"/>
      <c r="O7" s="307"/>
      <c r="P7" s="307"/>
    </row>
    <row r="8" spans="1:16" ht="21.95" customHeight="1">
      <c r="A8" s="358"/>
      <c r="C8" s="13"/>
      <c r="D8" s="97" t="s">
        <v>113</v>
      </c>
      <c r="E8" s="156">
        <v>88664813</v>
      </c>
      <c r="F8" s="338">
        <v>39.47</v>
      </c>
      <c r="G8" s="339">
        <v>129589085.3</v>
      </c>
      <c r="H8" s="337">
        <v>62.66</v>
      </c>
      <c r="I8" s="98" t="s">
        <v>114</v>
      </c>
      <c r="J8" s="77"/>
      <c r="K8" s="121"/>
      <c r="O8" s="307"/>
      <c r="P8" s="307"/>
    </row>
    <row r="9" spans="1:16" ht="21.95" customHeight="1">
      <c r="A9" s="189"/>
      <c r="C9" s="13"/>
      <c r="D9" s="99" t="s">
        <v>115</v>
      </c>
      <c r="E9" s="156">
        <v>400244.7</v>
      </c>
      <c r="F9" s="338">
        <v>0.18</v>
      </c>
      <c r="G9" s="156">
        <v>250466</v>
      </c>
      <c r="H9" s="337">
        <v>0.12</v>
      </c>
      <c r="I9" s="100" t="s">
        <v>116</v>
      </c>
      <c r="J9" s="77"/>
      <c r="K9" s="121"/>
      <c r="O9" s="307"/>
      <c r="P9" s="307"/>
    </row>
    <row r="10" spans="1:16" s="120" customFormat="1" ht="21.95" customHeight="1">
      <c r="A10" s="190"/>
      <c r="C10" s="13" t="s">
        <v>117</v>
      </c>
      <c r="D10" s="97" t="s">
        <v>60</v>
      </c>
      <c r="E10" s="156">
        <v>4819896.4000000004</v>
      </c>
      <c r="F10" s="338">
        <v>2.14</v>
      </c>
      <c r="G10" s="339">
        <v>1926417.4</v>
      </c>
      <c r="H10" s="337">
        <v>0.93</v>
      </c>
      <c r="I10" s="98" t="s">
        <v>61</v>
      </c>
      <c r="J10" s="77" t="s">
        <v>118</v>
      </c>
      <c r="K10" s="121"/>
      <c r="O10" s="308"/>
      <c r="P10" s="308"/>
    </row>
    <row r="11" spans="1:16" ht="21.95" customHeight="1">
      <c r="A11" s="189"/>
      <c r="C11" s="13" t="s">
        <v>119</v>
      </c>
      <c r="D11" s="99" t="s">
        <v>120</v>
      </c>
      <c r="E11" s="156">
        <v>6486406.0999999996</v>
      </c>
      <c r="F11" s="338">
        <v>2.89</v>
      </c>
      <c r="G11" s="222">
        <v>1938555.3</v>
      </c>
      <c r="H11" s="337">
        <v>0.94</v>
      </c>
      <c r="I11" s="100" t="s">
        <v>121</v>
      </c>
      <c r="J11" s="77" t="s">
        <v>122</v>
      </c>
      <c r="K11" s="121"/>
      <c r="O11" s="307"/>
      <c r="P11" s="307"/>
    </row>
    <row r="12" spans="1:16" s="120" customFormat="1" ht="21.95" customHeight="1">
      <c r="A12" s="190"/>
      <c r="C12" s="13" t="s">
        <v>123</v>
      </c>
      <c r="D12" s="97" t="s">
        <v>2</v>
      </c>
      <c r="E12" s="156">
        <v>13408942.4</v>
      </c>
      <c r="F12" s="338">
        <v>5.97</v>
      </c>
      <c r="G12" s="339">
        <v>8987226.8000000007</v>
      </c>
      <c r="H12" s="337">
        <v>4.3499999999999996</v>
      </c>
      <c r="I12" s="98" t="s">
        <v>124</v>
      </c>
      <c r="J12" s="77" t="s">
        <v>125</v>
      </c>
      <c r="K12" s="121"/>
      <c r="O12" s="308"/>
      <c r="P12" s="308"/>
    </row>
    <row r="13" spans="1:16" s="120" customFormat="1" ht="37.5" customHeight="1">
      <c r="A13" s="190"/>
      <c r="C13" s="13" t="s">
        <v>126</v>
      </c>
      <c r="D13" s="97" t="s">
        <v>198</v>
      </c>
      <c r="E13" s="156">
        <f>20071980.1-E14</f>
        <v>17579913.400000002</v>
      </c>
      <c r="F13" s="338">
        <v>7.82</v>
      </c>
      <c r="G13" s="222">
        <f>14672908.6-G14</f>
        <v>12851222.4</v>
      </c>
      <c r="H13" s="337">
        <v>6.21</v>
      </c>
      <c r="I13" s="98" t="s">
        <v>127</v>
      </c>
      <c r="J13" s="77" t="s">
        <v>128</v>
      </c>
      <c r="K13" s="121"/>
      <c r="L13" s="143"/>
      <c r="O13" s="308"/>
      <c r="P13" s="308"/>
    </row>
    <row r="14" spans="1:16" s="120" customFormat="1" ht="21.95" customHeight="1">
      <c r="A14" s="190"/>
      <c r="C14" s="13" t="s">
        <v>129</v>
      </c>
      <c r="D14" s="97" t="s">
        <v>130</v>
      </c>
      <c r="E14" s="156">
        <f>3743.8+2488322.9</f>
        <v>2492066.6999999997</v>
      </c>
      <c r="F14" s="338">
        <v>1.1093783340556385</v>
      </c>
      <c r="G14" s="222">
        <v>1821686.2</v>
      </c>
      <c r="H14" s="337">
        <v>0.88</v>
      </c>
      <c r="I14" s="98" t="s">
        <v>131</v>
      </c>
      <c r="J14" s="77" t="s">
        <v>132</v>
      </c>
      <c r="K14" s="121"/>
      <c r="O14" s="308"/>
      <c r="P14" s="308"/>
    </row>
    <row r="15" spans="1:16" s="120" customFormat="1" ht="21.95" customHeight="1">
      <c r="A15" s="190"/>
      <c r="C15" s="13" t="s">
        <v>133</v>
      </c>
      <c r="D15" s="97" t="s">
        <v>134</v>
      </c>
      <c r="E15" s="156">
        <v>23981785.800000001</v>
      </c>
      <c r="F15" s="338">
        <v>10.68</v>
      </c>
      <c r="G15" s="340">
        <v>16160233</v>
      </c>
      <c r="H15" s="341">
        <v>7.81</v>
      </c>
      <c r="I15" s="98" t="s">
        <v>135</v>
      </c>
      <c r="J15" s="77" t="s">
        <v>136</v>
      </c>
      <c r="K15" s="121"/>
      <c r="O15" s="308"/>
      <c r="P15" s="308"/>
    </row>
    <row r="16" spans="1:16" s="120" customFormat="1" ht="21.95" customHeight="1">
      <c r="A16" s="190"/>
      <c r="C16" s="13" t="s">
        <v>137</v>
      </c>
      <c r="D16" s="97" t="s">
        <v>205</v>
      </c>
      <c r="E16" s="156">
        <f>4137873.5-130330.1</f>
        <v>4007543.4</v>
      </c>
      <c r="F16" s="338">
        <v>1.78</v>
      </c>
      <c r="G16" s="222">
        <v>2275720.2999999998</v>
      </c>
      <c r="H16" s="337">
        <v>1.1000000000000001</v>
      </c>
      <c r="I16" s="98" t="s">
        <v>138</v>
      </c>
      <c r="J16" s="77" t="s">
        <v>139</v>
      </c>
      <c r="K16" s="121"/>
      <c r="L16" s="143"/>
      <c r="O16" s="308"/>
      <c r="P16" s="308"/>
    </row>
    <row r="17" spans="1:16" s="120" customFormat="1" ht="24.75" customHeight="1">
      <c r="A17" s="190"/>
      <c r="C17" s="13" t="s">
        <v>140</v>
      </c>
      <c r="D17" s="97" t="s">
        <v>195</v>
      </c>
      <c r="E17" s="156">
        <f>130330.1+15052742.1</f>
        <v>15183072.199999999</v>
      </c>
      <c r="F17" s="338">
        <v>6.76</v>
      </c>
      <c r="G17" s="339">
        <v>8051084.9000000004</v>
      </c>
      <c r="H17" s="337">
        <v>3.9</v>
      </c>
      <c r="I17" s="98" t="s">
        <v>141</v>
      </c>
      <c r="J17" s="77" t="s">
        <v>142</v>
      </c>
      <c r="K17" s="121"/>
      <c r="O17" s="308"/>
      <c r="P17" s="308"/>
    </row>
    <row r="18" spans="1:16" s="120" customFormat="1" ht="24">
      <c r="A18" s="190"/>
      <c r="C18" s="13" t="s">
        <v>143</v>
      </c>
      <c r="D18" s="97" t="s">
        <v>197</v>
      </c>
      <c r="E18" s="156">
        <v>19585166.400000002</v>
      </c>
      <c r="F18" s="338">
        <v>8.7200000000000006</v>
      </c>
      <c r="G18" s="222">
        <v>9003274.8000000007</v>
      </c>
      <c r="H18" s="337">
        <v>4.3499999999999996</v>
      </c>
      <c r="I18" s="98" t="s">
        <v>144</v>
      </c>
      <c r="J18" s="77" t="s">
        <v>145</v>
      </c>
      <c r="K18" s="78"/>
      <c r="O18" s="308"/>
      <c r="P18" s="308"/>
    </row>
    <row r="19" spans="1:16" s="120" customFormat="1" ht="21.95" customHeight="1">
      <c r="A19" s="190"/>
      <c r="C19" s="13" t="s">
        <v>146</v>
      </c>
      <c r="D19" s="97" t="s">
        <v>147</v>
      </c>
      <c r="E19" s="156">
        <v>10854529.300000001</v>
      </c>
      <c r="F19" s="338">
        <v>4.83</v>
      </c>
      <c r="G19" s="222">
        <v>4479379.4000000004</v>
      </c>
      <c r="H19" s="337">
        <v>2.16</v>
      </c>
      <c r="I19" s="98" t="s">
        <v>148</v>
      </c>
      <c r="J19" s="77" t="s">
        <v>149</v>
      </c>
      <c r="K19" s="78"/>
      <c r="O19" s="308"/>
      <c r="P19" s="308"/>
    </row>
    <row r="20" spans="1:16" s="120" customFormat="1" ht="27" customHeight="1">
      <c r="A20" s="190"/>
      <c r="C20" s="13" t="s">
        <v>150</v>
      </c>
      <c r="D20" s="97" t="s">
        <v>199</v>
      </c>
      <c r="E20" s="156">
        <v>6853764.3999999994</v>
      </c>
      <c r="F20" s="338">
        <v>3.05</v>
      </c>
      <c r="G20" s="222">
        <v>3492957.2</v>
      </c>
      <c r="H20" s="337">
        <v>1.69</v>
      </c>
      <c r="I20" s="98" t="s">
        <v>151</v>
      </c>
      <c r="J20" s="77" t="s">
        <v>152</v>
      </c>
      <c r="K20" s="78"/>
      <c r="O20" s="308"/>
      <c r="P20" s="308"/>
    </row>
    <row r="21" spans="1:16" s="120" customFormat="1" ht="27" customHeight="1">
      <c r="A21" s="190"/>
      <c r="C21" s="13" t="s">
        <v>153</v>
      </c>
      <c r="D21" s="97" t="s">
        <v>200</v>
      </c>
      <c r="E21" s="156">
        <v>3623396.5000000005</v>
      </c>
      <c r="F21" s="338">
        <v>1.62</v>
      </c>
      <c r="G21" s="222">
        <v>2067336.8</v>
      </c>
      <c r="H21" s="337">
        <v>1</v>
      </c>
      <c r="I21" s="98" t="s">
        <v>154</v>
      </c>
      <c r="J21" s="77" t="s">
        <v>155</v>
      </c>
      <c r="K21" s="78"/>
      <c r="O21" s="308"/>
      <c r="P21" s="308"/>
    </row>
    <row r="22" spans="1:16" s="120" customFormat="1" ht="27" customHeight="1">
      <c r="A22" s="190"/>
      <c r="C22" s="13" t="s">
        <v>156</v>
      </c>
      <c r="D22" s="97" t="s">
        <v>201</v>
      </c>
      <c r="E22" s="156">
        <v>96397.7</v>
      </c>
      <c r="F22" s="338">
        <v>0.04</v>
      </c>
      <c r="G22" s="222">
        <v>59088.3</v>
      </c>
      <c r="H22" s="337">
        <v>0.03</v>
      </c>
      <c r="I22" s="98" t="s">
        <v>157</v>
      </c>
      <c r="J22" s="77" t="s">
        <v>158</v>
      </c>
      <c r="K22" s="78"/>
      <c r="O22" s="308"/>
      <c r="P22" s="308"/>
    </row>
    <row r="23" spans="1:16" s="120" customFormat="1" ht="27" customHeight="1" thickBot="1">
      <c r="A23" s="190"/>
      <c r="C23" s="144" t="s">
        <v>159</v>
      </c>
      <c r="D23" s="101" t="s">
        <v>202</v>
      </c>
      <c r="E23" s="342" t="s">
        <v>98</v>
      </c>
      <c r="F23" s="343" t="s">
        <v>98</v>
      </c>
      <c r="G23" s="342" t="s">
        <v>98</v>
      </c>
      <c r="H23" s="342" t="s">
        <v>98</v>
      </c>
      <c r="I23" s="102" t="s">
        <v>160</v>
      </c>
      <c r="J23" s="79" t="s">
        <v>161</v>
      </c>
      <c r="K23" s="121"/>
    </row>
    <row r="24" spans="1:16" s="120" customFormat="1" ht="21" customHeight="1">
      <c r="A24" s="190"/>
      <c r="C24" s="375" t="s">
        <v>203</v>
      </c>
      <c r="D24" s="376"/>
      <c r="E24" s="155">
        <f>E5+E6+E8+E9+E10+E11+E12+E13+E14+E15+E16+E17+E18+E19+E20+E21+E22</f>
        <v>224636323.20000002</v>
      </c>
      <c r="F24" s="209">
        <f>F5+F6+F8+F9+F10+F11+F12+F13+F14+F15+F16+F17+F18+F19+F20+F21+F22</f>
        <v>99.999378334055649</v>
      </c>
      <c r="G24" s="155">
        <f>G5+G6+G8+G9+G10+G11+G12+G13+G14+G15+G16+G17+G18+G19+G20+G21+G22</f>
        <v>206816957.10000005</v>
      </c>
      <c r="H24" s="209">
        <f>H5+H6+H8+H9+H10+H11+H12+H13+H14+H15+H16+H17+H18+H19+H20+H21+H22</f>
        <v>99.999999999999986</v>
      </c>
      <c r="I24" s="376" t="s">
        <v>162</v>
      </c>
      <c r="J24" s="377"/>
      <c r="K24" s="121"/>
    </row>
    <row r="25" spans="1:16" ht="21.75" customHeight="1">
      <c r="A25" s="189"/>
      <c r="C25" s="378" t="s">
        <v>204</v>
      </c>
      <c r="D25" s="379"/>
      <c r="E25" s="156">
        <v>2970613.7</v>
      </c>
      <c r="F25" s="158"/>
      <c r="G25" s="156">
        <v>1686890.2</v>
      </c>
      <c r="H25" s="153"/>
      <c r="I25" s="380" t="s">
        <v>189</v>
      </c>
      <c r="J25" s="381"/>
    </row>
    <row r="26" spans="1:16" ht="24.95" customHeight="1" thickBot="1">
      <c r="A26" s="191"/>
      <c r="C26" s="382" t="s">
        <v>163</v>
      </c>
      <c r="D26" s="383"/>
      <c r="E26" s="157">
        <f>E24-E25</f>
        <v>221665709.50000003</v>
      </c>
      <c r="F26" s="159"/>
      <c r="G26" s="157">
        <f>G24-G25</f>
        <v>205130066.90000007</v>
      </c>
      <c r="H26" s="154"/>
      <c r="I26" s="383" t="s">
        <v>30</v>
      </c>
      <c r="J26" s="384"/>
    </row>
    <row r="27" spans="1:16" ht="18.75" customHeight="1" thickTop="1">
      <c r="A27" s="191"/>
      <c r="C27" s="373" t="s">
        <v>220</v>
      </c>
      <c r="D27" s="373"/>
      <c r="G27" s="78"/>
      <c r="H27" s="78"/>
      <c r="I27" s="374"/>
      <c r="J27" s="374"/>
    </row>
    <row r="28" spans="1:16" ht="16.5" customHeight="1">
      <c r="A28" s="191">
        <v>9</v>
      </c>
      <c r="C28" s="372"/>
      <c r="D28" s="372"/>
      <c r="E28" s="372"/>
      <c r="F28" s="70"/>
      <c r="G28" s="70"/>
    </row>
    <row r="29" spans="1:16" ht="16.5" customHeight="1">
      <c r="E29" s="70"/>
      <c r="F29" s="70"/>
      <c r="G29" s="70"/>
      <c r="H29" s="70"/>
      <c r="I29" s="70"/>
    </row>
  </sheetData>
  <mergeCells count="16">
    <mergeCell ref="C28:E28"/>
    <mergeCell ref="A1:A8"/>
    <mergeCell ref="C27:D27"/>
    <mergeCell ref="I27:J27"/>
    <mergeCell ref="C24:D24"/>
    <mergeCell ref="I24:J24"/>
    <mergeCell ref="C25:D25"/>
    <mergeCell ref="I25:J25"/>
    <mergeCell ref="C26:D26"/>
    <mergeCell ref="I26:J26"/>
    <mergeCell ref="C1:J1"/>
    <mergeCell ref="C2:J2"/>
    <mergeCell ref="C3:C4"/>
    <mergeCell ref="D3:D4"/>
    <mergeCell ref="I3:I4"/>
    <mergeCell ref="J3:J4"/>
  </mergeCells>
  <printOptions horizontalCentered="1"/>
  <pageMargins left="0.27559055118110237" right="0.23622047244094491" top="0.39370078740157483" bottom="0.35433070866141736" header="0.19685039370078741" footer="0.23622047244094491"/>
  <pageSetup paperSize="9" scale="78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I38"/>
  <sheetViews>
    <sheetView rightToLeft="1" view="pageBreakPreview" topLeftCell="A16" zoomScaleSheetLayoutView="100" workbookViewId="0">
      <selection activeCell="A29" sqref="A29"/>
    </sheetView>
  </sheetViews>
  <sheetFormatPr defaultRowHeight="12.75"/>
  <cols>
    <col min="1" max="1" width="3.42578125" style="1" customWidth="1"/>
    <col min="2" max="3" width="6.140625" style="1" customWidth="1"/>
    <col min="4" max="4" width="27.28515625" style="1" customWidth="1"/>
    <col min="5" max="7" width="20.85546875" style="1" customWidth="1"/>
    <col min="8" max="8" width="35.7109375" style="1" customWidth="1"/>
    <col min="9" max="9" width="6.42578125" style="1" customWidth="1"/>
    <col min="10" max="16384" width="9.140625" style="1"/>
  </cols>
  <sheetData>
    <row r="1" spans="1:9" ht="33" customHeight="1">
      <c r="A1" s="358" t="s">
        <v>217</v>
      </c>
      <c r="C1" s="385" t="s">
        <v>264</v>
      </c>
      <c r="D1" s="385"/>
      <c r="E1" s="385"/>
      <c r="F1" s="385"/>
      <c r="G1" s="385"/>
      <c r="H1" s="385"/>
      <c r="I1" s="385"/>
    </row>
    <row r="2" spans="1:9" ht="35.25" customHeight="1" thickBot="1">
      <c r="A2" s="358"/>
      <c r="C2" s="386" t="s">
        <v>237</v>
      </c>
      <c r="D2" s="386"/>
      <c r="E2" s="386"/>
      <c r="F2" s="386"/>
      <c r="G2" s="386"/>
      <c r="H2" s="386"/>
      <c r="I2" s="386"/>
    </row>
    <row r="3" spans="1:9" ht="31.5" customHeight="1" thickTop="1">
      <c r="A3" s="358"/>
      <c r="C3" s="366" t="s">
        <v>45</v>
      </c>
      <c r="D3" s="366" t="s">
        <v>206</v>
      </c>
      <c r="E3" s="225" t="s">
        <v>86</v>
      </c>
      <c r="F3" s="225" t="s">
        <v>172</v>
      </c>
      <c r="G3" s="225" t="s">
        <v>84</v>
      </c>
      <c r="H3" s="387" t="s">
        <v>102</v>
      </c>
      <c r="I3" s="387" t="s">
        <v>103</v>
      </c>
    </row>
    <row r="4" spans="1:9" ht="31.5" customHeight="1" thickBot="1">
      <c r="A4" s="358"/>
      <c r="C4" s="367"/>
      <c r="D4" s="367"/>
      <c r="E4" s="112" t="s">
        <v>87</v>
      </c>
      <c r="F4" s="226" t="s">
        <v>88</v>
      </c>
      <c r="G4" s="226" t="s">
        <v>80</v>
      </c>
      <c r="H4" s="388"/>
      <c r="I4" s="388"/>
    </row>
    <row r="5" spans="1:9" ht="21.95" customHeight="1">
      <c r="A5" s="358"/>
      <c r="C5" s="10" t="s">
        <v>104</v>
      </c>
      <c r="D5" s="95" t="s">
        <v>193</v>
      </c>
      <c r="E5" s="206">
        <v>76547.399999999994</v>
      </c>
      <c r="F5" s="206">
        <f>6521837.4-F6</f>
        <v>6271147.9000000004</v>
      </c>
      <c r="G5" s="206">
        <f>E5+F5</f>
        <v>6347695.3000000007</v>
      </c>
      <c r="H5" s="96" t="s">
        <v>105</v>
      </c>
      <c r="I5" s="76" t="s">
        <v>106</v>
      </c>
    </row>
    <row r="6" spans="1:9" ht="21.95" customHeight="1">
      <c r="A6" s="358"/>
      <c r="C6" s="13" t="s">
        <v>107</v>
      </c>
      <c r="D6" s="97" t="s">
        <v>108</v>
      </c>
      <c r="E6" s="206">
        <v>0</v>
      </c>
      <c r="F6" s="206">
        <v>250689.5</v>
      </c>
      <c r="G6" s="206">
        <f>F6</f>
        <v>250689.5</v>
      </c>
      <c r="H6" s="98" t="s">
        <v>109</v>
      </c>
      <c r="I6" s="77" t="s">
        <v>110</v>
      </c>
    </row>
    <row r="7" spans="1:9" ht="21.95" customHeight="1">
      <c r="A7" s="358"/>
      <c r="C7" s="13" t="s">
        <v>111</v>
      </c>
      <c r="D7" s="97" t="s">
        <v>51</v>
      </c>
      <c r="E7" s="206">
        <f>E8+E9</f>
        <v>88664813</v>
      </c>
      <c r="F7" s="206">
        <f>F8+F9</f>
        <v>400244.7</v>
      </c>
      <c r="G7" s="206">
        <f>G8+G9</f>
        <v>89065057.700000003</v>
      </c>
      <c r="H7" s="98" t="s">
        <v>52</v>
      </c>
      <c r="I7" s="77" t="s">
        <v>112</v>
      </c>
    </row>
    <row r="8" spans="1:9" ht="21.95" customHeight="1">
      <c r="A8" s="358"/>
      <c r="C8" s="13"/>
      <c r="D8" s="97" t="s">
        <v>113</v>
      </c>
      <c r="E8" s="164">
        <v>88664813</v>
      </c>
      <c r="F8" s="206">
        <v>0</v>
      </c>
      <c r="G8" s="206">
        <f>E8</f>
        <v>88664813</v>
      </c>
      <c r="H8" s="98" t="s">
        <v>114</v>
      </c>
      <c r="I8" s="77"/>
    </row>
    <row r="9" spans="1:9" ht="21.95" customHeight="1">
      <c r="A9" s="189"/>
      <c r="C9" s="13"/>
      <c r="D9" s="97" t="s">
        <v>115</v>
      </c>
      <c r="E9" s="164">
        <v>0</v>
      </c>
      <c r="F9" s="164">
        <v>400244.7</v>
      </c>
      <c r="G9" s="164">
        <f>E9+F9</f>
        <v>400244.7</v>
      </c>
      <c r="H9" s="100" t="s">
        <v>116</v>
      </c>
      <c r="I9" s="77"/>
    </row>
    <row r="10" spans="1:9" s="120" customFormat="1" ht="21.95" customHeight="1">
      <c r="A10" s="190"/>
      <c r="C10" s="13" t="s">
        <v>117</v>
      </c>
      <c r="D10" s="97" t="s">
        <v>207</v>
      </c>
      <c r="E10" s="164">
        <v>1814978.6</v>
      </c>
      <c r="F10" s="164">
        <v>3004917.8</v>
      </c>
      <c r="G10" s="164">
        <f>E10+F10</f>
        <v>4819896.4000000004</v>
      </c>
      <c r="H10" s="98" t="s">
        <v>61</v>
      </c>
      <c r="I10" s="77" t="s">
        <v>118</v>
      </c>
    </row>
    <row r="11" spans="1:9" ht="21.95" customHeight="1">
      <c r="A11" s="189"/>
      <c r="C11" s="13" t="s">
        <v>119</v>
      </c>
      <c r="D11" s="97" t="s">
        <v>120</v>
      </c>
      <c r="E11" s="164">
        <v>5379544.4000000004</v>
      </c>
      <c r="F11" s="164">
        <v>1106861.7</v>
      </c>
      <c r="G11" s="164">
        <f>E11+F11</f>
        <v>6486406.1000000006</v>
      </c>
      <c r="H11" s="100" t="s">
        <v>121</v>
      </c>
      <c r="I11" s="77" t="s">
        <v>122</v>
      </c>
    </row>
    <row r="12" spans="1:9" ht="21.95" customHeight="1">
      <c r="A12" s="189"/>
      <c r="C12" s="13" t="s">
        <v>123</v>
      </c>
      <c r="D12" s="97" t="s">
        <v>2</v>
      </c>
      <c r="E12" s="164">
        <v>421152.7</v>
      </c>
      <c r="F12" s="164">
        <v>12987789.699999999</v>
      </c>
      <c r="G12" s="164">
        <f t="shared" ref="G12:G16" si="0">E12+F12</f>
        <v>13408942.399999999</v>
      </c>
      <c r="H12" s="100" t="s">
        <v>124</v>
      </c>
      <c r="I12" s="77" t="s">
        <v>125</v>
      </c>
    </row>
    <row r="13" spans="1:9" s="120" customFormat="1" ht="35.25" customHeight="1">
      <c r="A13" s="190"/>
      <c r="C13" s="13" t="s">
        <v>126</v>
      </c>
      <c r="D13" s="97" t="s">
        <v>198</v>
      </c>
      <c r="E13" s="164">
        <f>2694834.5-E14</f>
        <v>2691090.7</v>
      </c>
      <c r="F13" s="164">
        <f>17377145.6-F14</f>
        <v>14888822.700000001</v>
      </c>
      <c r="G13" s="164">
        <f t="shared" si="0"/>
        <v>17579913.400000002</v>
      </c>
      <c r="H13" s="98" t="s">
        <v>127</v>
      </c>
      <c r="I13" s="77" t="s">
        <v>128</v>
      </c>
    </row>
    <row r="14" spans="1:9" s="120" customFormat="1" ht="21.95" customHeight="1">
      <c r="A14" s="190"/>
      <c r="C14" s="13" t="s">
        <v>129</v>
      </c>
      <c r="D14" s="97" t="s">
        <v>130</v>
      </c>
      <c r="E14" s="164">
        <v>3743.8</v>
      </c>
      <c r="F14" s="164">
        <v>2488322.9</v>
      </c>
      <c r="G14" s="164">
        <f>E14+F14</f>
        <v>2492066.6999999997</v>
      </c>
      <c r="H14" s="98" t="s">
        <v>131</v>
      </c>
      <c r="I14" s="77" t="s">
        <v>132</v>
      </c>
    </row>
    <row r="15" spans="1:9" s="120" customFormat="1" ht="21.95" customHeight="1">
      <c r="A15" s="190"/>
      <c r="C15" s="13" t="s">
        <v>133</v>
      </c>
      <c r="D15" s="97" t="s">
        <v>134</v>
      </c>
      <c r="E15" s="164">
        <v>1510890.1</v>
      </c>
      <c r="F15" s="164">
        <v>22470895.699999999</v>
      </c>
      <c r="G15" s="164">
        <f>E15+F15</f>
        <v>23981785.800000001</v>
      </c>
      <c r="H15" s="98" t="s">
        <v>135</v>
      </c>
      <c r="I15" s="77" t="s">
        <v>136</v>
      </c>
    </row>
    <row r="16" spans="1:9" s="120" customFormat="1" ht="21.95" customHeight="1">
      <c r="A16" s="190"/>
      <c r="C16" s="13" t="s">
        <v>137</v>
      </c>
      <c r="D16" s="97" t="s">
        <v>205</v>
      </c>
      <c r="E16" s="164">
        <f>3340235.2</f>
        <v>3340235.2</v>
      </c>
      <c r="F16" s="164">
        <f>797638.3-130330.1</f>
        <v>667308.20000000007</v>
      </c>
      <c r="G16" s="164">
        <f t="shared" si="0"/>
        <v>4007543.4000000004</v>
      </c>
      <c r="H16" s="98" t="s">
        <v>138</v>
      </c>
      <c r="I16" s="77" t="s">
        <v>139</v>
      </c>
    </row>
    <row r="17" spans="1:9" s="120" customFormat="1" ht="21.95" customHeight="1">
      <c r="A17" s="190"/>
      <c r="C17" s="13" t="s">
        <v>140</v>
      </c>
      <c r="D17" s="97" t="s">
        <v>195</v>
      </c>
      <c r="E17" s="164">
        <v>0</v>
      </c>
      <c r="F17" s="164">
        <f>130330.1+15052742.1</f>
        <v>15183072.199999999</v>
      </c>
      <c r="G17" s="164">
        <f>F17</f>
        <v>15183072.199999999</v>
      </c>
      <c r="H17" s="98" t="s">
        <v>141</v>
      </c>
      <c r="I17" s="77" t="s">
        <v>142</v>
      </c>
    </row>
    <row r="18" spans="1:9" s="120" customFormat="1" ht="21.95" customHeight="1">
      <c r="A18" s="190"/>
      <c r="C18" s="13" t="s">
        <v>143</v>
      </c>
      <c r="D18" s="97" t="s">
        <v>196</v>
      </c>
      <c r="E18" s="164">
        <v>19585166.399999999</v>
      </c>
      <c r="F18" s="164">
        <v>0</v>
      </c>
      <c r="G18" s="164">
        <f>E18</f>
        <v>19585166.399999999</v>
      </c>
      <c r="H18" s="98" t="s">
        <v>144</v>
      </c>
      <c r="I18" s="77" t="s">
        <v>145</v>
      </c>
    </row>
    <row r="19" spans="1:9" s="120" customFormat="1" ht="21.95" customHeight="1">
      <c r="A19" s="190"/>
      <c r="C19" s="13" t="s">
        <v>146</v>
      </c>
      <c r="D19" s="97" t="s">
        <v>147</v>
      </c>
      <c r="E19" s="164">
        <v>9916459.6999999993</v>
      </c>
      <c r="F19" s="164">
        <v>938069.6</v>
      </c>
      <c r="G19" s="164">
        <f>E19+F19</f>
        <v>10854529.299999999</v>
      </c>
      <c r="H19" s="98" t="s">
        <v>148</v>
      </c>
      <c r="I19" s="77" t="s">
        <v>149</v>
      </c>
    </row>
    <row r="20" spans="1:9" s="120" customFormat="1" ht="21.95" customHeight="1">
      <c r="A20" s="190"/>
      <c r="C20" s="13" t="s">
        <v>150</v>
      </c>
      <c r="D20" s="97" t="s">
        <v>199</v>
      </c>
      <c r="E20" s="164">
        <v>3061948.8</v>
      </c>
      <c r="F20" s="164">
        <v>3791815.6</v>
      </c>
      <c r="G20" s="164">
        <f>E20+F20</f>
        <v>6853764.4000000004</v>
      </c>
      <c r="H20" s="98" t="s">
        <v>151</v>
      </c>
      <c r="I20" s="77" t="s">
        <v>152</v>
      </c>
    </row>
    <row r="21" spans="1:9" s="120" customFormat="1" ht="28.5" customHeight="1">
      <c r="A21" s="190"/>
      <c r="C21" s="13" t="s">
        <v>153</v>
      </c>
      <c r="D21" s="97" t="s">
        <v>200</v>
      </c>
      <c r="E21" s="164">
        <v>1453272.5</v>
      </c>
      <c r="F21" s="164">
        <v>2170124</v>
      </c>
      <c r="G21" s="164">
        <f>E21+F21</f>
        <v>3623396.5</v>
      </c>
      <c r="H21" s="98" t="s">
        <v>154</v>
      </c>
      <c r="I21" s="77" t="s">
        <v>155</v>
      </c>
    </row>
    <row r="22" spans="1:9" s="120" customFormat="1" ht="27" customHeight="1">
      <c r="A22" s="190"/>
      <c r="C22" s="13" t="s">
        <v>156</v>
      </c>
      <c r="D22" s="97" t="s">
        <v>201</v>
      </c>
      <c r="E22" s="164">
        <v>0</v>
      </c>
      <c r="F22" s="164">
        <v>96397.7</v>
      </c>
      <c r="G22" s="164">
        <f>F22</f>
        <v>96397.7</v>
      </c>
      <c r="H22" s="98" t="s">
        <v>157</v>
      </c>
      <c r="I22" s="77" t="s">
        <v>158</v>
      </c>
    </row>
    <row r="23" spans="1:9" ht="21.95" customHeight="1" thickBot="1">
      <c r="A23" s="189"/>
      <c r="C23" s="82" t="s">
        <v>159</v>
      </c>
      <c r="D23" s="101" t="s">
        <v>202</v>
      </c>
      <c r="E23" s="223" t="s">
        <v>98</v>
      </c>
      <c r="F23" s="223" t="s">
        <v>98</v>
      </c>
      <c r="G23" s="223" t="s">
        <v>98</v>
      </c>
      <c r="H23" s="102" t="s">
        <v>160</v>
      </c>
      <c r="I23" s="79" t="s">
        <v>161</v>
      </c>
    </row>
    <row r="24" spans="1:9" ht="24.95" customHeight="1" thickBot="1">
      <c r="A24" s="189"/>
      <c r="C24" s="392" t="s">
        <v>203</v>
      </c>
      <c r="D24" s="390"/>
      <c r="E24" s="167">
        <f>E5+E8+E9+E10+E11+E12+E13+E14+E15+E16+E18+E19+E20+E21</f>
        <v>137919843.30000001</v>
      </c>
      <c r="F24" s="167">
        <f>F5+F6+F9+F10+F11+F12+F13+F14+F15+F16+F17+F19+F20+F21+F22</f>
        <v>86716479.899999991</v>
      </c>
      <c r="G24" s="167">
        <f>G5+G6+G8+G9+G10+G11+G12+G13+G14+G15+G16+G17+G18+G19+G20+G21+G22</f>
        <v>224636323.20000002</v>
      </c>
      <c r="H24" s="390" t="s">
        <v>162</v>
      </c>
      <c r="I24" s="391"/>
    </row>
    <row r="25" spans="1:9" ht="15.75" thickTop="1">
      <c r="A25" s="189"/>
      <c r="C25" s="373" t="s">
        <v>220</v>
      </c>
      <c r="D25" s="373"/>
      <c r="F25" s="70"/>
      <c r="G25" s="70"/>
      <c r="H25" s="389"/>
      <c r="I25" s="389"/>
    </row>
    <row r="26" spans="1:9" ht="17.25">
      <c r="A26" s="191">
        <v>10</v>
      </c>
      <c r="E26" s="70"/>
      <c r="F26" s="70"/>
      <c r="G26" s="70"/>
    </row>
    <row r="27" spans="1:9">
      <c r="A27" s="189"/>
      <c r="E27" s="121"/>
      <c r="F27" s="121"/>
      <c r="G27" s="78"/>
    </row>
    <row r="28" spans="1:9">
      <c r="A28" s="189"/>
      <c r="E28" s="70"/>
      <c r="F28" s="70"/>
      <c r="G28" s="70"/>
    </row>
    <row r="29" spans="1:9">
      <c r="A29" s="189"/>
      <c r="C29" s="80"/>
      <c r="D29" s="80"/>
      <c r="E29" s="81"/>
      <c r="F29" s="80"/>
      <c r="G29" s="81"/>
      <c r="H29" s="80"/>
      <c r="I29" s="80"/>
    </row>
    <row r="30" spans="1:9">
      <c r="E30" s="70"/>
      <c r="F30" s="118"/>
      <c r="G30" s="70"/>
    </row>
    <row r="31" spans="1:9">
      <c r="E31" s="70"/>
      <c r="F31" s="70"/>
      <c r="G31" s="70"/>
    </row>
    <row r="32" spans="1:9">
      <c r="E32" s="70"/>
      <c r="F32" s="70"/>
      <c r="G32" s="70"/>
    </row>
    <row r="38" spans="6:7">
      <c r="F38" s="70"/>
      <c r="G38" s="70"/>
    </row>
  </sheetData>
  <mergeCells count="11">
    <mergeCell ref="A1:A8"/>
    <mergeCell ref="C1:I1"/>
    <mergeCell ref="C2:I2"/>
    <mergeCell ref="C25:D25"/>
    <mergeCell ref="H25:I25"/>
    <mergeCell ref="H24:I24"/>
    <mergeCell ref="C24:D24"/>
    <mergeCell ref="C3:C4"/>
    <mergeCell ref="D3:D4"/>
    <mergeCell ref="I3:I4"/>
    <mergeCell ref="H3:H4"/>
  </mergeCells>
  <phoneticPr fontId="2" type="noConversion"/>
  <printOptions horizontalCentered="1" verticalCentered="1"/>
  <pageMargins left="0.196850393700787" right="0.24" top="0.24" bottom="0.39370078740157499" header="0.2" footer="0.196850393700787"/>
  <pageSetup paperSize="9" scale="88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U31"/>
  <sheetViews>
    <sheetView rightToLeft="1" view="pageBreakPreview" zoomScaleSheetLayoutView="100" workbookViewId="0">
      <selection activeCell="A29" sqref="A29"/>
    </sheetView>
  </sheetViews>
  <sheetFormatPr defaultRowHeight="12.75"/>
  <cols>
    <col min="1" max="1" width="4.140625" style="1" customWidth="1"/>
    <col min="2" max="2" width="3.7109375" style="1" customWidth="1"/>
    <col min="3" max="3" width="6.28515625" style="1" customWidth="1"/>
    <col min="4" max="4" width="25.7109375" style="1" customWidth="1"/>
    <col min="5" max="9" width="17.5703125" style="1" customWidth="1"/>
    <col min="10" max="10" width="30.7109375" style="1" customWidth="1"/>
    <col min="11" max="11" width="6.7109375" style="1" customWidth="1"/>
    <col min="12" max="12" width="12.5703125" style="1" customWidth="1"/>
    <col min="13" max="13" width="10.5703125" style="1" bestFit="1" customWidth="1"/>
    <col min="14" max="14" width="11.5703125" style="1" bestFit="1" customWidth="1"/>
    <col min="15" max="15" width="11" style="1" customWidth="1"/>
    <col min="16" max="17" width="10.7109375" style="1" customWidth="1"/>
    <col min="18" max="18" width="10.28515625" style="1" customWidth="1"/>
    <col min="19" max="19" width="9.140625" style="1"/>
    <col min="20" max="20" width="10.5703125" style="1" bestFit="1" customWidth="1"/>
    <col min="21" max="21" width="13.28515625" style="1" bestFit="1" customWidth="1"/>
    <col min="22" max="16384" width="9.140625" style="1"/>
  </cols>
  <sheetData>
    <row r="1" spans="1:21" s="107" customFormat="1" ht="33" customHeight="1">
      <c r="A1" s="358" t="s">
        <v>217</v>
      </c>
      <c r="C1" s="397" t="s">
        <v>252</v>
      </c>
      <c r="D1" s="397"/>
      <c r="E1" s="397"/>
      <c r="F1" s="397"/>
      <c r="G1" s="397"/>
      <c r="H1" s="397"/>
      <c r="I1" s="397"/>
      <c r="J1" s="397"/>
      <c r="K1" s="397"/>
    </row>
    <row r="2" spans="1:21" s="107" customFormat="1" ht="45.75" customHeight="1" thickBot="1">
      <c r="A2" s="358"/>
      <c r="C2" s="398" t="s">
        <v>236</v>
      </c>
      <c r="D2" s="398"/>
      <c r="E2" s="398"/>
      <c r="F2" s="398"/>
      <c r="G2" s="398"/>
      <c r="H2" s="398"/>
      <c r="I2" s="398"/>
      <c r="J2" s="398"/>
      <c r="K2" s="398"/>
    </row>
    <row r="3" spans="1:21" ht="24.95" customHeight="1" thickTop="1">
      <c r="A3" s="358"/>
      <c r="C3" s="366" t="s">
        <v>45</v>
      </c>
      <c r="D3" s="366" t="s">
        <v>206</v>
      </c>
      <c r="E3" s="260" t="s">
        <v>64</v>
      </c>
      <c r="F3" s="261" t="s">
        <v>65</v>
      </c>
      <c r="G3" s="262" t="s">
        <v>66</v>
      </c>
      <c r="H3" s="262" t="s">
        <v>34</v>
      </c>
      <c r="I3" s="263" t="s">
        <v>36</v>
      </c>
      <c r="J3" s="387" t="s">
        <v>102</v>
      </c>
      <c r="K3" s="387" t="s">
        <v>103</v>
      </c>
    </row>
    <row r="4" spans="1:21" ht="24.95" customHeight="1" thickBot="1">
      <c r="A4" s="358"/>
      <c r="C4" s="367"/>
      <c r="D4" s="367"/>
      <c r="E4" s="113" t="s">
        <v>67</v>
      </c>
      <c r="F4" s="114" t="s">
        <v>68</v>
      </c>
      <c r="G4" s="115" t="s">
        <v>69</v>
      </c>
      <c r="H4" s="114" t="s">
        <v>33</v>
      </c>
      <c r="I4" s="116" t="s">
        <v>70</v>
      </c>
      <c r="J4" s="388"/>
      <c r="K4" s="388"/>
      <c r="M4" s="2"/>
      <c r="N4" s="2"/>
      <c r="O4" s="2"/>
      <c r="P4" s="2"/>
    </row>
    <row r="5" spans="1:21" ht="21.95" customHeight="1">
      <c r="A5" s="358"/>
      <c r="C5" s="10" t="s">
        <v>104</v>
      </c>
      <c r="D5" s="95" t="s">
        <v>193</v>
      </c>
      <c r="E5" s="206">
        <f>9813602.8-E6</f>
        <v>9519573.4000000004</v>
      </c>
      <c r="F5" s="206">
        <f>3215218-F6</f>
        <v>3171878.1</v>
      </c>
      <c r="G5" s="206">
        <f>E5-F5</f>
        <v>6347695.3000000007</v>
      </c>
      <c r="H5" s="164">
        <v>2187748.4</v>
      </c>
      <c r="I5" s="164">
        <f>G5-H5</f>
        <v>4159946.9000000008</v>
      </c>
      <c r="J5" s="96" t="s">
        <v>105</v>
      </c>
      <c r="K5" s="76" t="s">
        <v>106</v>
      </c>
      <c r="M5" s="24"/>
      <c r="N5" s="25"/>
      <c r="O5" s="315"/>
      <c r="P5" s="315"/>
      <c r="Q5" s="70"/>
      <c r="R5" s="70"/>
      <c r="S5" s="70"/>
      <c r="U5" s="121"/>
    </row>
    <row r="6" spans="1:21" ht="21.95" customHeight="1">
      <c r="A6" s="358"/>
      <c r="C6" s="13" t="s">
        <v>107</v>
      </c>
      <c r="D6" s="97" t="s">
        <v>108</v>
      </c>
      <c r="E6" s="206">
        <v>294029.40000000002</v>
      </c>
      <c r="F6" s="206">
        <v>43339.9</v>
      </c>
      <c r="G6" s="206">
        <f>E6-F6</f>
        <v>250689.50000000003</v>
      </c>
      <c r="H6" s="164">
        <v>86237.2</v>
      </c>
      <c r="I6" s="164">
        <f>G6-H6</f>
        <v>164452.30000000005</v>
      </c>
      <c r="J6" s="98" t="s">
        <v>109</v>
      </c>
      <c r="K6" s="77" t="s">
        <v>110</v>
      </c>
      <c r="M6" s="24"/>
      <c r="N6" s="25"/>
      <c r="O6" s="315"/>
      <c r="P6" s="315"/>
      <c r="Q6" s="70"/>
      <c r="R6" s="70"/>
      <c r="S6" s="70"/>
      <c r="U6" s="121"/>
    </row>
    <row r="7" spans="1:21" ht="21.95" customHeight="1">
      <c r="A7" s="358"/>
      <c r="C7" s="13" t="s">
        <v>111</v>
      </c>
      <c r="D7" s="97" t="s">
        <v>51</v>
      </c>
      <c r="E7" s="206">
        <f>E8+E9</f>
        <v>95090968.300000012</v>
      </c>
      <c r="F7" s="206">
        <f>F8+F9</f>
        <v>6025910.6000000006</v>
      </c>
      <c r="G7" s="206">
        <f>E7-F7</f>
        <v>89065057.700000018</v>
      </c>
      <c r="H7" s="206">
        <f>H8+H9</f>
        <v>3286385.1999999997</v>
      </c>
      <c r="I7" s="206">
        <f>G7-H7</f>
        <v>85778672.500000015</v>
      </c>
      <c r="J7" s="98" t="s">
        <v>52</v>
      </c>
      <c r="K7" s="77" t="s">
        <v>112</v>
      </c>
      <c r="M7" s="314"/>
      <c r="N7" s="25"/>
      <c r="O7" s="315"/>
      <c r="P7" s="315"/>
      <c r="Q7" s="70"/>
      <c r="R7" s="70"/>
      <c r="S7" s="70"/>
      <c r="U7" s="121"/>
    </row>
    <row r="8" spans="1:21" ht="21.95" customHeight="1">
      <c r="A8" s="358"/>
      <c r="C8" s="13"/>
      <c r="D8" s="97" t="s">
        <v>113</v>
      </c>
      <c r="E8" s="206">
        <v>94444473.900000006</v>
      </c>
      <c r="F8" s="206">
        <v>5779660.9000000004</v>
      </c>
      <c r="G8" s="206">
        <f t="shared" ref="G8:G12" si="0">E8-F8</f>
        <v>88664813</v>
      </c>
      <c r="H8" s="206">
        <v>3217983.4</v>
      </c>
      <c r="I8" s="206">
        <f t="shared" ref="I8:I12" si="1">G8-H8</f>
        <v>85446829.599999994</v>
      </c>
      <c r="J8" s="98" t="s">
        <v>114</v>
      </c>
      <c r="K8" s="77"/>
      <c r="M8" s="314"/>
      <c r="N8" s="25"/>
      <c r="O8" s="315"/>
      <c r="P8" s="315"/>
      <c r="Q8" s="70"/>
      <c r="R8" s="70"/>
      <c r="S8" s="70"/>
      <c r="U8" s="121"/>
    </row>
    <row r="9" spans="1:21" s="120" customFormat="1" ht="21.95" customHeight="1">
      <c r="A9" s="190"/>
      <c r="C9" s="13"/>
      <c r="D9" s="97" t="s">
        <v>115</v>
      </c>
      <c r="E9" s="164">
        <v>646494.4</v>
      </c>
      <c r="F9" s="164">
        <v>246249.7</v>
      </c>
      <c r="G9" s="164">
        <f>E9-F9</f>
        <v>400244.7</v>
      </c>
      <c r="H9" s="164">
        <v>68401.8</v>
      </c>
      <c r="I9" s="164">
        <f>G9-H9</f>
        <v>331842.90000000002</v>
      </c>
      <c r="J9" s="100" t="s">
        <v>116</v>
      </c>
      <c r="K9" s="77"/>
      <c r="M9" s="316"/>
      <c r="N9" s="317"/>
      <c r="O9" s="315"/>
      <c r="P9" s="315"/>
      <c r="Q9" s="141"/>
      <c r="R9" s="141"/>
      <c r="S9" s="141"/>
      <c r="U9" s="121"/>
    </row>
    <row r="10" spans="1:21" s="120" customFormat="1" ht="21.95" customHeight="1">
      <c r="A10" s="190"/>
      <c r="C10" s="13" t="s">
        <v>117</v>
      </c>
      <c r="D10" s="97" t="s">
        <v>207</v>
      </c>
      <c r="E10" s="164">
        <v>10453396.5</v>
      </c>
      <c r="F10" s="164">
        <v>5633500.0999999996</v>
      </c>
      <c r="G10" s="164">
        <f>E10-F10</f>
        <v>4819896.4000000004</v>
      </c>
      <c r="H10" s="164">
        <v>1977969.9</v>
      </c>
      <c r="I10" s="164">
        <f>G10-H10</f>
        <v>2841926.5000000005</v>
      </c>
      <c r="J10" s="98" t="s">
        <v>61</v>
      </c>
      <c r="K10" s="77" t="s">
        <v>118</v>
      </c>
      <c r="M10" s="314"/>
      <c r="N10" s="25"/>
      <c r="O10" s="315"/>
      <c r="P10" s="315"/>
      <c r="Q10" s="141"/>
      <c r="R10" s="141"/>
      <c r="S10" s="141"/>
      <c r="U10" s="121"/>
    </row>
    <row r="11" spans="1:21" s="120" customFormat="1" ht="21.95" customHeight="1">
      <c r="A11" s="190"/>
      <c r="C11" s="13" t="s">
        <v>119</v>
      </c>
      <c r="D11" s="97" t="s">
        <v>120</v>
      </c>
      <c r="E11" s="164">
        <v>9965651.9000000004</v>
      </c>
      <c r="F11" s="164">
        <v>3479245.8</v>
      </c>
      <c r="G11" s="164">
        <f t="shared" si="0"/>
        <v>6486406.1000000006</v>
      </c>
      <c r="H11" s="164">
        <v>1718831.6</v>
      </c>
      <c r="I11" s="164">
        <f t="shared" si="1"/>
        <v>4767574.5</v>
      </c>
      <c r="J11" s="98" t="s">
        <v>121</v>
      </c>
      <c r="K11" s="77" t="s">
        <v>122</v>
      </c>
      <c r="M11" s="316"/>
      <c r="N11" s="317"/>
      <c r="O11" s="315"/>
      <c r="P11" s="315"/>
      <c r="Q11" s="141"/>
      <c r="R11" s="141"/>
      <c r="S11" s="141"/>
      <c r="U11" s="121"/>
    </row>
    <row r="12" spans="1:21" s="120" customFormat="1" ht="21.95" customHeight="1">
      <c r="A12" s="190"/>
      <c r="C12" s="13" t="s">
        <v>123</v>
      </c>
      <c r="D12" s="97" t="s">
        <v>2</v>
      </c>
      <c r="E12" s="164">
        <v>22726385.100000001</v>
      </c>
      <c r="F12" s="164">
        <v>9317442.6999999993</v>
      </c>
      <c r="G12" s="164">
        <f t="shared" si="0"/>
        <v>13408942.400000002</v>
      </c>
      <c r="H12" s="164">
        <v>5590465.5999999996</v>
      </c>
      <c r="I12" s="164">
        <f t="shared" si="1"/>
        <v>7818476.8000000026</v>
      </c>
      <c r="J12" s="98" t="s">
        <v>124</v>
      </c>
      <c r="K12" s="77" t="s">
        <v>125</v>
      </c>
      <c r="M12" s="316"/>
      <c r="N12" s="317"/>
      <c r="O12" s="315"/>
      <c r="P12" s="315"/>
      <c r="Q12" s="141"/>
      <c r="R12" s="141"/>
      <c r="S12" s="141"/>
      <c r="U12" s="121"/>
    </row>
    <row r="13" spans="1:21" s="120" customFormat="1" ht="36">
      <c r="A13" s="190"/>
      <c r="C13" s="13" t="s">
        <v>126</v>
      </c>
      <c r="D13" s="97" t="s">
        <v>198</v>
      </c>
      <c r="E13" s="164">
        <f>27788249.9-E14</f>
        <v>22902322.799999997</v>
      </c>
      <c r="F13" s="164">
        <f>7716269.8-F14</f>
        <v>5322409.4000000004</v>
      </c>
      <c r="G13" s="164">
        <f>E13-F13</f>
        <v>17579913.399999999</v>
      </c>
      <c r="H13" s="344">
        <f>3420832.5-H14</f>
        <v>2770330.4</v>
      </c>
      <c r="I13" s="164">
        <f>G13-H13</f>
        <v>14809582.999999998</v>
      </c>
      <c r="J13" s="98" t="s">
        <v>127</v>
      </c>
      <c r="K13" s="77" t="s">
        <v>128</v>
      </c>
      <c r="L13" s="178">
        <v>10</v>
      </c>
      <c r="M13" s="316"/>
      <c r="N13" s="317"/>
      <c r="O13" s="315"/>
      <c r="P13" s="315"/>
      <c r="Q13" s="141"/>
      <c r="R13" s="141"/>
      <c r="S13" s="141"/>
      <c r="U13" s="121"/>
    </row>
    <row r="14" spans="1:21" s="120" customFormat="1" ht="21.95" customHeight="1">
      <c r="A14" s="190"/>
      <c r="C14" s="13" t="s">
        <v>129</v>
      </c>
      <c r="D14" s="97" t="s">
        <v>130</v>
      </c>
      <c r="E14" s="164">
        <f>5163.8+4880763.3</f>
        <v>4885927.0999999996</v>
      </c>
      <c r="F14" s="164">
        <f>1420+2392440.4</f>
        <v>2393860.4</v>
      </c>
      <c r="G14" s="164">
        <f>E14-F14</f>
        <v>2492066.6999999997</v>
      </c>
      <c r="H14" s="164">
        <f>733.8+649768.3</f>
        <v>650502.10000000009</v>
      </c>
      <c r="I14" s="164">
        <f>G14-H14</f>
        <v>1841564.5999999996</v>
      </c>
      <c r="J14" s="98" t="s">
        <v>131</v>
      </c>
      <c r="K14" s="77" t="s">
        <v>132</v>
      </c>
      <c r="L14" s="141"/>
      <c r="M14" s="314"/>
      <c r="N14" s="25"/>
      <c r="O14" s="315"/>
      <c r="P14" s="315"/>
      <c r="Q14" s="141"/>
      <c r="R14" s="141"/>
      <c r="S14" s="141"/>
      <c r="T14" s="141"/>
      <c r="U14" s="121"/>
    </row>
    <row r="15" spans="1:21" s="120" customFormat="1" ht="24">
      <c r="A15" s="190"/>
      <c r="C15" s="13" t="s">
        <v>133</v>
      </c>
      <c r="D15" s="97" t="s">
        <v>134</v>
      </c>
      <c r="E15" s="164">
        <v>37970694</v>
      </c>
      <c r="F15" s="164">
        <v>13988908.199999999</v>
      </c>
      <c r="G15" s="164">
        <f>E15-F15</f>
        <v>23981785.800000001</v>
      </c>
      <c r="H15" s="164">
        <v>12819007.1</v>
      </c>
      <c r="I15" s="164">
        <f>G15-H15</f>
        <v>11162778.700000001</v>
      </c>
      <c r="J15" s="98" t="s">
        <v>135</v>
      </c>
      <c r="K15" s="77" t="s">
        <v>136</v>
      </c>
      <c r="M15" s="316"/>
      <c r="N15" s="317"/>
      <c r="O15" s="315"/>
      <c r="P15" s="315"/>
      <c r="U15" s="121"/>
    </row>
    <row r="16" spans="1:21" s="120" customFormat="1" ht="21.95" customHeight="1">
      <c r="A16" s="190"/>
      <c r="C16" s="13" t="s">
        <v>137</v>
      </c>
      <c r="D16" s="97" t="s">
        <v>205</v>
      </c>
      <c r="E16" s="164">
        <f>4622179-179204</f>
        <v>4442975</v>
      </c>
      <c r="F16" s="164">
        <f>484305.5-48873.9</f>
        <v>435431.6</v>
      </c>
      <c r="G16" s="164">
        <f>E16-F16</f>
        <v>4007543.4</v>
      </c>
      <c r="H16" s="164">
        <f>489893.2-5605</f>
        <v>484288.2</v>
      </c>
      <c r="I16" s="164">
        <f t="shared" ref="I16:I20" si="2">G16-H16</f>
        <v>3523255.1999999997</v>
      </c>
      <c r="J16" s="98" t="s">
        <v>138</v>
      </c>
      <c r="K16" s="77" t="s">
        <v>139</v>
      </c>
      <c r="M16" s="314"/>
      <c r="N16" s="25"/>
      <c r="O16" s="315"/>
      <c r="P16" s="315"/>
      <c r="U16" s="121"/>
    </row>
    <row r="17" spans="1:21" s="120" customFormat="1" ht="21.95" customHeight="1">
      <c r="A17" s="190"/>
      <c r="C17" s="13" t="s">
        <v>140</v>
      </c>
      <c r="D17" s="97" t="s">
        <v>195</v>
      </c>
      <c r="E17" s="164">
        <f>18817478.2+179204</f>
        <v>18996682.199999999</v>
      </c>
      <c r="F17" s="164">
        <f>3764736.1+48873.9</f>
        <v>3813610</v>
      </c>
      <c r="G17" s="164">
        <f>E17-F17</f>
        <v>15183072.199999999</v>
      </c>
      <c r="H17" s="164">
        <f>6777+5605</f>
        <v>12382</v>
      </c>
      <c r="I17" s="164">
        <f>G17-H17</f>
        <v>15170690.199999999</v>
      </c>
      <c r="J17" s="98" t="s">
        <v>141</v>
      </c>
      <c r="K17" s="77" t="s">
        <v>142</v>
      </c>
      <c r="L17" s="141"/>
      <c r="M17" s="314"/>
      <c r="N17" s="25"/>
      <c r="O17" s="315"/>
      <c r="P17" s="315"/>
      <c r="Q17" s="141"/>
      <c r="R17" s="141"/>
      <c r="S17" s="141"/>
      <c r="T17" s="141"/>
      <c r="U17" s="121"/>
    </row>
    <row r="18" spans="1:21" s="120" customFormat="1" ht="24">
      <c r="A18" s="190"/>
      <c r="C18" s="13" t="s">
        <v>143</v>
      </c>
      <c r="D18" s="97" t="s">
        <v>197</v>
      </c>
      <c r="E18" s="164">
        <v>22733063.600000001</v>
      </c>
      <c r="F18" s="164">
        <v>3147897.2</v>
      </c>
      <c r="G18" s="164">
        <f t="shared" ref="G18:G21" si="3">E18-F18</f>
        <v>19585166.400000002</v>
      </c>
      <c r="H18" s="164">
        <v>18922866.100000001</v>
      </c>
      <c r="I18" s="164">
        <f t="shared" si="2"/>
        <v>662300.30000000075</v>
      </c>
      <c r="J18" s="98" t="s">
        <v>144</v>
      </c>
      <c r="K18" s="77" t="s">
        <v>145</v>
      </c>
      <c r="M18" s="314"/>
      <c r="N18" s="25"/>
      <c r="O18" s="242"/>
      <c r="P18" s="242"/>
      <c r="U18" s="121"/>
    </row>
    <row r="19" spans="1:21" s="120" customFormat="1" ht="21.95" customHeight="1">
      <c r="A19" s="190"/>
      <c r="C19" s="13" t="s">
        <v>146</v>
      </c>
      <c r="D19" s="97" t="s">
        <v>147</v>
      </c>
      <c r="E19" s="164">
        <v>11398998.9</v>
      </c>
      <c r="F19" s="164">
        <v>544469.60000000009</v>
      </c>
      <c r="G19" s="164">
        <f t="shared" si="3"/>
        <v>10854529.300000001</v>
      </c>
      <c r="H19" s="164">
        <v>9862541.4000000004</v>
      </c>
      <c r="I19" s="164">
        <f t="shared" si="2"/>
        <v>991987.90000000037</v>
      </c>
      <c r="J19" s="98" t="s">
        <v>148</v>
      </c>
      <c r="K19" s="77" t="s">
        <v>149</v>
      </c>
      <c r="M19" s="314"/>
      <c r="N19" s="25"/>
      <c r="O19" s="242"/>
      <c r="P19" s="242"/>
      <c r="U19" s="121"/>
    </row>
    <row r="20" spans="1:21" s="120" customFormat="1" ht="21.95" customHeight="1">
      <c r="A20" s="190"/>
      <c r="C20" s="13" t="s">
        <v>150</v>
      </c>
      <c r="D20" s="97" t="s">
        <v>199</v>
      </c>
      <c r="E20" s="164">
        <v>8613819.0999999996</v>
      </c>
      <c r="F20" s="164">
        <v>1760054.7</v>
      </c>
      <c r="G20" s="164">
        <f t="shared" si="3"/>
        <v>6853764.3999999994</v>
      </c>
      <c r="H20" s="164">
        <v>4095949.3</v>
      </c>
      <c r="I20" s="164">
        <f t="shared" si="2"/>
        <v>2757815.0999999996</v>
      </c>
      <c r="J20" s="98" t="s">
        <v>151</v>
      </c>
      <c r="K20" s="77" t="s">
        <v>152</v>
      </c>
      <c r="M20" s="393"/>
      <c r="N20" s="393"/>
      <c r="O20" s="318"/>
      <c r="P20" s="318"/>
      <c r="Q20" s="141"/>
      <c r="R20" s="141"/>
      <c r="S20" s="141"/>
      <c r="T20" s="141"/>
      <c r="U20" s="121"/>
    </row>
    <row r="21" spans="1:21" s="120" customFormat="1" ht="24">
      <c r="A21" s="190"/>
      <c r="C21" s="13" t="s">
        <v>153</v>
      </c>
      <c r="D21" s="97" t="s">
        <v>200</v>
      </c>
      <c r="E21" s="164">
        <v>4502519.9000000004</v>
      </c>
      <c r="F21" s="164">
        <v>879123.39999999991</v>
      </c>
      <c r="G21" s="164">
        <f t="shared" si="3"/>
        <v>3623396.5000000005</v>
      </c>
      <c r="H21" s="164">
        <v>2055165.2</v>
      </c>
      <c r="I21" s="164">
        <f>G21-H21</f>
        <v>1568231.3000000005</v>
      </c>
      <c r="J21" s="98" t="s">
        <v>154</v>
      </c>
      <c r="K21" s="77" t="s">
        <v>155</v>
      </c>
    </row>
    <row r="22" spans="1:21" s="120" customFormat="1" ht="24">
      <c r="A22" s="190"/>
      <c r="C22" s="13" t="s">
        <v>156</v>
      </c>
      <c r="D22" s="97" t="s">
        <v>201</v>
      </c>
      <c r="E22" s="164">
        <v>96397.7</v>
      </c>
      <c r="F22" s="164">
        <v>0</v>
      </c>
      <c r="G22" s="164">
        <f>E22</f>
        <v>96397.7</v>
      </c>
      <c r="H22" s="164">
        <v>96397.7</v>
      </c>
      <c r="I22" s="164">
        <v>0</v>
      </c>
      <c r="J22" s="98" t="s">
        <v>157</v>
      </c>
      <c r="K22" s="77" t="s">
        <v>158</v>
      </c>
    </row>
    <row r="23" spans="1:21" s="120" customFormat="1" ht="24.75" thickBot="1">
      <c r="A23" s="190"/>
      <c r="C23" s="82" t="s">
        <v>159</v>
      </c>
      <c r="D23" s="101" t="s">
        <v>208</v>
      </c>
      <c r="E23" s="223" t="s">
        <v>98</v>
      </c>
      <c r="F23" s="223" t="s">
        <v>98</v>
      </c>
      <c r="G23" s="223" t="s">
        <v>98</v>
      </c>
      <c r="H23" s="223" t="s">
        <v>98</v>
      </c>
      <c r="I23" s="223" t="s">
        <v>98</v>
      </c>
      <c r="J23" s="102" t="s">
        <v>160</v>
      </c>
      <c r="K23" s="79" t="s">
        <v>161</v>
      </c>
      <c r="M23" s="141"/>
      <c r="N23" s="141"/>
    </row>
    <row r="24" spans="1:21" s="120" customFormat="1" ht="21" customHeight="1">
      <c r="A24" s="190"/>
      <c r="C24" s="375" t="s">
        <v>26</v>
      </c>
      <c r="D24" s="376"/>
      <c r="E24" s="163">
        <f>E5+E6+E8+E9+E10+E11+E12+E13+E14+E15+E16+E17+E18+E19+E20+E21+E22</f>
        <v>284593404.89999998</v>
      </c>
      <c r="F24" s="163">
        <f>F5+F6+F8+F9+F10+F11+F12+F13+F14+F15+F16+F17+F18+F19+F20+F21</f>
        <v>59957081.70000001</v>
      </c>
      <c r="G24" s="163">
        <f>E24-F24</f>
        <v>224636323.19999996</v>
      </c>
      <c r="H24" s="163">
        <f>H5+H6+H8+H9+H10+H11+H12+H14+H15+H16+H17+H18+H19+H20+H21+H22+H13</f>
        <v>66617067.399999999</v>
      </c>
      <c r="I24" s="163">
        <f>I5+I6+I8+I9+I10+I11+I12+I13+I14+I15+I16+I17+I18+I19+I20+I21</f>
        <v>158019255.80000001</v>
      </c>
      <c r="J24" s="376" t="s">
        <v>162</v>
      </c>
      <c r="K24" s="377"/>
    </row>
    <row r="25" spans="1:21" ht="21" customHeight="1">
      <c r="A25" s="189"/>
      <c r="C25" s="378" t="s">
        <v>253</v>
      </c>
      <c r="D25" s="379"/>
      <c r="E25" s="165"/>
      <c r="F25" s="164">
        <v>2970613.7</v>
      </c>
      <c r="G25" s="164" t="s">
        <v>242</v>
      </c>
      <c r="H25" s="165"/>
      <c r="I25" s="164" t="s">
        <v>242</v>
      </c>
      <c r="J25" s="379" t="s">
        <v>164</v>
      </c>
      <c r="K25" s="399"/>
    </row>
    <row r="26" spans="1:21" ht="24.95" customHeight="1" thickBot="1">
      <c r="A26" s="191"/>
      <c r="C26" s="396" t="s">
        <v>75</v>
      </c>
      <c r="D26" s="394"/>
      <c r="E26" s="166">
        <f>E24</f>
        <v>284593404.89999998</v>
      </c>
      <c r="F26" s="166">
        <f>F24+F25</f>
        <v>62927695.400000013</v>
      </c>
      <c r="G26" s="166">
        <f>G24-F25</f>
        <v>221665709.49999997</v>
      </c>
      <c r="H26" s="166">
        <f>H24</f>
        <v>66617067.399999999</v>
      </c>
      <c r="I26" s="166">
        <f>I24-F25</f>
        <v>155048642.10000002</v>
      </c>
      <c r="J26" s="394" t="s">
        <v>165</v>
      </c>
      <c r="K26" s="395"/>
    </row>
    <row r="27" spans="1:21" ht="24.75" customHeight="1" thickTop="1">
      <c r="A27" s="191">
        <v>11</v>
      </c>
      <c r="C27" s="373" t="s">
        <v>220</v>
      </c>
      <c r="D27" s="373"/>
      <c r="G27" s="70"/>
      <c r="I27" s="70"/>
    </row>
    <row r="28" spans="1:21">
      <c r="E28" s="70"/>
      <c r="F28" s="70"/>
      <c r="G28" s="70"/>
      <c r="H28" s="70"/>
      <c r="I28" s="70"/>
    </row>
    <row r="29" spans="1:21">
      <c r="E29" s="70"/>
      <c r="F29" s="70"/>
      <c r="G29" s="70"/>
      <c r="H29" s="70"/>
      <c r="I29" s="70"/>
    </row>
    <row r="30" spans="1:21">
      <c r="E30" s="70"/>
      <c r="F30" s="70"/>
      <c r="G30" s="70"/>
      <c r="H30" s="70"/>
      <c r="I30" s="70"/>
    </row>
    <row r="31" spans="1:21">
      <c r="E31" s="70"/>
      <c r="F31" s="70"/>
      <c r="G31" s="70"/>
      <c r="H31" s="70"/>
      <c r="I31" s="70"/>
    </row>
  </sheetData>
  <mergeCells count="15">
    <mergeCell ref="M20:N20"/>
    <mergeCell ref="C27:D27"/>
    <mergeCell ref="A1:A8"/>
    <mergeCell ref="C24:D24"/>
    <mergeCell ref="C25:D25"/>
    <mergeCell ref="J26:K26"/>
    <mergeCell ref="C26:D26"/>
    <mergeCell ref="C1:K1"/>
    <mergeCell ref="C2:K2"/>
    <mergeCell ref="J24:K24"/>
    <mergeCell ref="J25:K25"/>
    <mergeCell ref="C3:C4"/>
    <mergeCell ref="D3:D4"/>
    <mergeCell ref="J3:J4"/>
    <mergeCell ref="K3:K4"/>
  </mergeCells>
  <phoneticPr fontId="2" type="noConversion"/>
  <printOptions horizontalCentered="1" verticalCentered="1"/>
  <pageMargins left="0.15748031496063" right="0.23622047244094499" top="0.31496062992126" bottom="0.31496062992126" header="0.196850393700787" footer="0.23622047244094499"/>
  <pageSetup paperSize="9" scale="85" orientation="landscape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AI28"/>
  <sheetViews>
    <sheetView rightToLeft="1" view="pageBreakPreview" topLeftCell="A10" zoomScaleSheetLayoutView="100" workbookViewId="0">
      <selection activeCell="A29" sqref="A29"/>
    </sheetView>
  </sheetViews>
  <sheetFormatPr defaultRowHeight="12.75"/>
  <cols>
    <col min="1" max="1" width="6.42578125" style="1" customWidth="1"/>
    <col min="2" max="2" width="4.140625" style="1" customWidth="1"/>
    <col min="3" max="3" width="5.85546875" style="1" customWidth="1"/>
    <col min="4" max="4" width="24.5703125" style="1" customWidth="1"/>
    <col min="5" max="5" width="18.28515625" style="1" customWidth="1"/>
    <col min="6" max="6" width="17.5703125" style="1" customWidth="1"/>
    <col min="7" max="9" width="18" style="1" customWidth="1"/>
    <col min="10" max="10" width="37.85546875" style="1" customWidth="1"/>
    <col min="11" max="11" width="5.7109375" style="1" customWidth="1"/>
    <col min="12" max="12" width="13" style="1" customWidth="1"/>
    <col min="13" max="13" width="12.7109375" style="1" customWidth="1"/>
    <col min="14" max="14" width="13.140625" style="1" customWidth="1"/>
    <col min="15" max="15" width="16.28515625" style="1" customWidth="1"/>
    <col min="16" max="16" width="11.5703125" style="1" customWidth="1"/>
    <col min="17" max="17" width="9.5703125" style="1" bestFit="1" customWidth="1"/>
    <col min="18" max="18" width="9.140625" style="1"/>
    <col min="19" max="19" width="11.5703125" style="1" bestFit="1" customWidth="1"/>
    <col min="20" max="16384" width="9.140625" style="1"/>
  </cols>
  <sheetData>
    <row r="1" spans="1:35" s="107" customFormat="1" ht="33" customHeight="1">
      <c r="A1" s="358" t="s">
        <v>217</v>
      </c>
      <c r="C1" s="397" t="s">
        <v>254</v>
      </c>
      <c r="D1" s="397"/>
      <c r="E1" s="397"/>
      <c r="F1" s="397"/>
      <c r="G1" s="397"/>
      <c r="H1" s="397"/>
      <c r="I1" s="397"/>
      <c r="J1" s="397"/>
      <c r="K1" s="397"/>
    </row>
    <row r="2" spans="1:35" s="107" customFormat="1" ht="33" customHeight="1" thickBot="1">
      <c r="A2" s="358"/>
      <c r="C2" s="398" t="s">
        <v>235</v>
      </c>
      <c r="D2" s="398"/>
      <c r="E2" s="398"/>
      <c r="F2" s="398"/>
      <c r="G2" s="398"/>
      <c r="H2" s="398"/>
      <c r="I2" s="398"/>
      <c r="J2" s="398"/>
      <c r="K2" s="398"/>
    </row>
    <row r="3" spans="1:35" ht="24.95" customHeight="1" thickTop="1">
      <c r="A3" s="358"/>
      <c r="C3" s="366" t="s">
        <v>45</v>
      </c>
      <c r="D3" s="366" t="s">
        <v>194</v>
      </c>
      <c r="E3" s="259" t="s">
        <v>64</v>
      </c>
      <c r="F3" s="259" t="s">
        <v>65</v>
      </c>
      <c r="G3" s="225" t="s">
        <v>66</v>
      </c>
      <c r="H3" s="225" t="s">
        <v>34</v>
      </c>
      <c r="I3" s="225" t="s">
        <v>36</v>
      </c>
      <c r="J3" s="387" t="s">
        <v>102</v>
      </c>
      <c r="K3" s="387" t="s">
        <v>103</v>
      </c>
    </row>
    <row r="4" spans="1:35" ht="24.95" customHeight="1" thickBot="1">
      <c r="A4" s="358"/>
      <c r="C4" s="367"/>
      <c r="D4" s="367"/>
      <c r="E4" s="112" t="s">
        <v>67</v>
      </c>
      <c r="F4" s="112" t="s">
        <v>68</v>
      </c>
      <c r="G4" s="226" t="s">
        <v>69</v>
      </c>
      <c r="H4" s="112" t="s">
        <v>33</v>
      </c>
      <c r="I4" s="112" t="s">
        <v>70</v>
      </c>
      <c r="J4" s="388"/>
      <c r="K4" s="388"/>
    </row>
    <row r="5" spans="1:35" ht="21.75" customHeight="1">
      <c r="A5" s="358"/>
      <c r="C5" s="10" t="s">
        <v>104</v>
      </c>
      <c r="D5" s="95" t="s">
        <v>193</v>
      </c>
      <c r="E5" s="208">
        <v>288286.7</v>
      </c>
      <c r="F5" s="208">
        <v>211739.3</v>
      </c>
      <c r="G5" s="208">
        <f>E5-F5</f>
        <v>76547.400000000023</v>
      </c>
      <c r="H5" s="208">
        <v>31765.9</v>
      </c>
      <c r="I5" s="208">
        <f>G5-H5</f>
        <v>44781.500000000022</v>
      </c>
      <c r="J5" s="96" t="s">
        <v>105</v>
      </c>
      <c r="K5" s="76" t="s">
        <v>106</v>
      </c>
      <c r="L5" s="70"/>
      <c r="M5" s="121"/>
      <c r="S5" s="121"/>
      <c r="T5" s="121"/>
      <c r="U5" s="121"/>
      <c r="V5" s="121"/>
      <c r="W5" s="121"/>
      <c r="AE5" s="121"/>
      <c r="AF5" s="121"/>
      <c r="AG5" s="121"/>
      <c r="AH5" s="121"/>
      <c r="AI5" s="121"/>
    </row>
    <row r="6" spans="1:35" ht="21.75" customHeight="1">
      <c r="A6" s="358"/>
      <c r="C6" s="13" t="s">
        <v>107</v>
      </c>
      <c r="D6" s="97" t="s">
        <v>108</v>
      </c>
      <c r="E6" s="206">
        <v>0</v>
      </c>
      <c r="F6" s="206">
        <v>0</v>
      </c>
      <c r="G6" s="206">
        <v>0</v>
      </c>
      <c r="H6" s="206">
        <v>0</v>
      </c>
      <c r="I6" s="206">
        <v>0</v>
      </c>
      <c r="J6" s="98" t="s">
        <v>109</v>
      </c>
      <c r="K6" s="77" t="s">
        <v>110</v>
      </c>
      <c r="L6" s="70"/>
      <c r="M6" s="121"/>
      <c r="S6" s="121"/>
      <c r="T6" s="121"/>
      <c r="U6" s="121"/>
      <c r="V6" s="121"/>
      <c r="W6" s="121"/>
      <c r="AE6" s="121"/>
      <c r="AF6" s="121"/>
      <c r="AG6" s="121"/>
      <c r="AH6" s="121"/>
      <c r="AI6" s="121"/>
    </row>
    <row r="7" spans="1:35" ht="21.75" customHeight="1">
      <c r="A7" s="358"/>
      <c r="C7" s="13" t="s">
        <v>111</v>
      </c>
      <c r="D7" s="97" t="s">
        <v>51</v>
      </c>
      <c r="E7" s="206">
        <f>E8+E9</f>
        <v>94444473.900000006</v>
      </c>
      <c r="F7" s="206">
        <f>F8+F9</f>
        <v>5779660.9000000004</v>
      </c>
      <c r="G7" s="206">
        <f>E7-F7</f>
        <v>88664813</v>
      </c>
      <c r="H7" s="206">
        <f>H8+H9</f>
        <v>3217983.4</v>
      </c>
      <c r="I7" s="206">
        <f>G7-H7</f>
        <v>85446829.599999994</v>
      </c>
      <c r="J7" s="98" t="s">
        <v>52</v>
      </c>
      <c r="K7" s="77" t="s">
        <v>112</v>
      </c>
      <c r="L7" s="70"/>
      <c r="M7" s="121"/>
      <c r="S7" s="121"/>
      <c r="T7" s="121"/>
      <c r="U7" s="121"/>
      <c r="V7" s="121"/>
      <c r="W7" s="121"/>
      <c r="AE7" s="121"/>
      <c r="AF7" s="121"/>
      <c r="AG7" s="121"/>
      <c r="AH7" s="121"/>
      <c r="AI7" s="121"/>
    </row>
    <row r="8" spans="1:35" ht="21.75" customHeight="1">
      <c r="A8" s="358"/>
      <c r="C8" s="13"/>
      <c r="D8" s="97" t="s">
        <v>113</v>
      </c>
      <c r="E8" s="206">
        <v>94444473.900000006</v>
      </c>
      <c r="F8" s="206">
        <v>5779660.9000000004</v>
      </c>
      <c r="G8" s="206">
        <f t="shared" ref="G8:G13" si="0">E8-F8</f>
        <v>88664813</v>
      </c>
      <c r="H8" s="206">
        <v>3217983.4</v>
      </c>
      <c r="I8" s="206">
        <f t="shared" ref="I8:I14" si="1">G8-H8</f>
        <v>85446829.599999994</v>
      </c>
      <c r="J8" s="98" t="s">
        <v>114</v>
      </c>
      <c r="K8" s="77"/>
      <c r="L8" s="70"/>
      <c r="M8" s="121"/>
      <c r="S8" s="121"/>
      <c r="T8" s="121"/>
      <c r="U8" s="121"/>
      <c r="V8" s="121"/>
      <c r="W8" s="121"/>
      <c r="AE8" s="121"/>
      <c r="AF8" s="121"/>
      <c r="AG8" s="121"/>
      <c r="AH8" s="121"/>
      <c r="AI8" s="121"/>
    </row>
    <row r="9" spans="1:35" ht="21.75" customHeight="1">
      <c r="A9" s="358"/>
      <c r="C9" s="13"/>
      <c r="D9" s="97" t="s">
        <v>115</v>
      </c>
      <c r="E9" s="164">
        <v>0</v>
      </c>
      <c r="F9" s="164">
        <v>0</v>
      </c>
      <c r="G9" s="164">
        <f t="shared" si="0"/>
        <v>0</v>
      </c>
      <c r="H9" s="164">
        <v>0</v>
      </c>
      <c r="I9" s="164">
        <f>G9-H9</f>
        <v>0</v>
      </c>
      <c r="J9" s="100" t="s">
        <v>116</v>
      </c>
      <c r="K9" s="77"/>
      <c r="L9" s="70"/>
      <c r="M9" s="121"/>
      <c r="S9" s="121"/>
      <c r="T9" s="121"/>
      <c r="U9" s="121"/>
      <c r="V9" s="121"/>
      <c r="W9" s="121"/>
      <c r="AE9" s="121"/>
      <c r="AF9" s="121"/>
      <c r="AG9" s="121"/>
      <c r="AH9" s="121"/>
      <c r="AI9" s="121"/>
    </row>
    <row r="10" spans="1:35" s="120" customFormat="1" ht="21.75" customHeight="1">
      <c r="A10" s="190"/>
      <c r="C10" s="13" t="s">
        <v>117</v>
      </c>
      <c r="D10" s="97" t="s">
        <v>207</v>
      </c>
      <c r="E10" s="164">
        <v>3400138.4</v>
      </c>
      <c r="F10" s="164">
        <v>1585159.8</v>
      </c>
      <c r="G10" s="164">
        <f>E10-F10</f>
        <v>1814978.5999999999</v>
      </c>
      <c r="H10" s="164">
        <v>1257437.8999999999</v>
      </c>
      <c r="I10" s="164">
        <f t="shared" si="1"/>
        <v>557540.69999999995</v>
      </c>
      <c r="J10" s="98" t="s">
        <v>61</v>
      </c>
      <c r="K10" s="77" t="s">
        <v>118</v>
      </c>
      <c r="L10" s="141"/>
      <c r="M10" s="199"/>
      <c r="S10" s="121"/>
      <c r="T10" s="121"/>
      <c r="U10" s="121"/>
      <c r="V10" s="121"/>
      <c r="W10" s="121"/>
      <c r="AE10" s="121"/>
      <c r="AF10" s="121"/>
      <c r="AG10" s="121"/>
      <c r="AH10" s="121"/>
      <c r="AI10" s="121"/>
    </row>
    <row r="11" spans="1:35" s="120" customFormat="1" ht="21.75" customHeight="1">
      <c r="A11" s="190"/>
      <c r="C11" s="13" t="s">
        <v>119</v>
      </c>
      <c r="D11" s="97" t="s">
        <v>120</v>
      </c>
      <c r="E11" s="164">
        <v>7511413.0999999996</v>
      </c>
      <c r="F11" s="164">
        <v>2131868.7000000002</v>
      </c>
      <c r="G11" s="164">
        <f t="shared" si="0"/>
        <v>5379544.3999999994</v>
      </c>
      <c r="H11" s="164">
        <v>1386773.1</v>
      </c>
      <c r="I11" s="164">
        <f>G11-H11</f>
        <v>3992771.2999999993</v>
      </c>
      <c r="J11" s="98" t="s">
        <v>121</v>
      </c>
      <c r="K11" s="77" t="s">
        <v>122</v>
      </c>
      <c r="L11" s="70"/>
      <c r="M11" s="121"/>
      <c r="S11" s="121"/>
      <c r="T11" s="121"/>
      <c r="U11" s="121"/>
      <c r="V11" s="121"/>
      <c r="W11" s="121"/>
      <c r="AE11" s="121"/>
      <c r="AF11" s="121"/>
      <c r="AG11" s="121"/>
      <c r="AH11" s="121"/>
      <c r="AI11" s="121"/>
    </row>
    <row r="12" spans="1:35" s="120" customFormat="1" ht="21.75" customHeight="1">
      <c r="A12" s="190"/>
      <c r="C12" s="13" t="s">
        <v>123</v>
      </c>
      <c r="D12" s="97" t="s">
        <v>2</v>
      </c>
      <c r="E12" s="164">
        <v>723169.4</v>
      </c>
      <c r="F12" s="164">
        <v>302016.7</v>
      </c>
      <c r="G12" s="164">
        <f t="shared" si="0"/>
        <v>421152.7</v>
      </c>
      <c r="H12" s="164">
        <v>295255.2</v>
      </c>
      <c r="I12" s="164">
        <f t="shared" si="1"/>
        <v>125897.5</v>
      </c>
      <c r="J12" s="98" t="s">
        <v>124</v>
      </c>
      <c r="K12" s="77" t="s">
        <v>125</v>
      </c>
      <c r="L12" s="141"/>
      <c r="M12" s="199"/>
      <c r="S12" s="121"/>
      <c r="T12" s="121"/>
      <c r="U12" s="121"/>
      <c r="V12" s="121"/>
      <c r="W12" s="121"/>
      <c r="AE12" s="121"/>
      <c r="AF12" s="121"/>
      <c r="AG12" s="121"/>
      <c r="AH12" s="121"/>
      <c r="AI12" s="121"/>
    </row>
    <row r="13" spans="1:35" s="120" customFormat="1" ht="36" customHeight="1">
      <c r="A13" s="190"/>
      <c r="C13" s="13" t="s">
        <v>126</v>
      </c>
      <c r="D13" s="97" t="s">
        <v>198</v>
      </c>
      <c r="E13" s="164">
        <v>3461712.6</v>
      </c>
      <c r="F13" s="164">
        <v>770621.9</v>
      </c>
      <c r="G13" s="164">
        <f t="shared" si="0"/>
        <v>2691090.7</v>
      </c>
      <c r="H13" s="164">
        <v>724589</v>
      </c>
      <c r="I13" s="164">
        <f>G13-H13</f>
        <v>1966501.7000000002</v>
      </c>
      <c r="J13" s="98" t="s">
        <v>127</v>
      </c>
      <c r="K13" s="77" t="s">
        <v>128</v>
      </c>
      <c r="L13" s="203">
        <v>11</v>
      </c>
      <c r="M13" s="199"/>
      <c r="N13" s="199"/>
      <c r="O13" s="199"/>
      <c r="P13" s="199"/>
      <c r="S13" s="121"/>
      <c r="T13" s="121"/>
      <c r="U13" s="121"/>
      <c r="V13" s="121"/>
      <c r="W13" s="121"/>
      <c r="AE13" s="121"/>
      <c r="AF13" s="121"/>
      <c r="AG13" s="121"/>
      <c r="AH13" s="121"/>
      <c r="AI13" s="121"/>
    </row>
    <row r="14" spans="1:35" s="120" customFormat="1" ht="19.5" customHeight="1">
      <c r="A14" s="190"/>
      <c r="C14" s="13" t="s">
        <v>129</v>
      </c>
      <c r="D14" s="97" t="s">
        <v>130</v>
      </c>
      <c r="E14" s="164">
        <v>5163.8</v>
      </c>
      <c r="F14" s="164">
        <v>1420</v>
      </c>
      <c r="G14" s="164">
        <f>E14-F14</f>
        <v>3743.8</v>
      </c>
      <c r="H14" s="164">
        <v>733.8</v>
      </c>
      <c r="I14" s="164">
        <f t="shared" si="1"/>
        <v>3010</v>
      </c>
      <c r="J14" s="98" t="s">
        <v>131</v>
      </c>
      <c r="K14" s="77" t="s">
        <v>132</v>
      </c>
      <c r="L14" s="141"/>
      <c r="M14" s="199"/>
      <c r="N14" s="141"/>
      <c r="O14" s="141"/>
      <c r="P14" s="141"/>
      <c r="Q14" s="141"/>
      <c r="R14" s="141"/>
      <c r="S14" s="121"/>
      <c r="T14" s="121"/>
      <c r="U14" s="121"/>
      <c r="V14" s="121"/>
      <c r="W14" s="121"/>
      <c r="AE14" s="121"/>
      <c r="AF14" s="121"/>
      <c r="AG14" s="121"/>
      <c r="AH14" s="121"/>
      <c r="AI14" s="121"/>
    </row>
    <row r="15" spans="1:35" s="120" customFormat="1" ht="23.25" customHeight="1">
      <c r="A15" s="190"/>
      <c r="C15" s="13" t="s">
        <v>133</v>
      </c>
      <c r="D15" s="97" t="s">
        <v>134</v>
      </c>
      <c r="E15" s="164">
        <v>2027736.2</v>
      </c>
      <c r="F15" s="164">
        <v>516846.1</v>
      </c>
      <c r="G15" s="164">
        <f>E15-F15</f>
        <v>1510890.1</v>
      </c>
      <c r="H15" s="164">
        <v>696771</v>
      </c>
      <c r="I15" s="164">
        <f>G15-H15</f>
        <v>814119.10000000009</v>
      </c>
      <c r="J15" s="98" t="s">
        <v>135</v>
      </c>
      <c r="K15" s="77" t="s">
        <v>136</v>
      </c>
      <c r="L15" s="141"/>
      <c r="M15" s="199"/>
      <c r="S15" s="121"/>
      <c r="T15" s="121"/>
      <c r="U15" s="121"/>
      <c r="V15" s="121"/>
      <c r="W15" s="121"/>
      <c r="AE15" s="121"/>
      <c r="AF15" s="121"/>
      <c r="AG15" s="121"/>
      <c r="AH15" s="121"/>
      <c r="AI15" s="121"/>
    </row>
    <row r="16" spans="1:35" s="120" customFormat="1" ht="21.75" customHeight="1">
      <c r="A16" s="190"/>
      <c r="C16" s="13" t="s">
        <v>137</v>
      </c>
      <c r="D16" s="97" t="s">
        <v>205</v>
      </c>
      <c r="E16" s="164">
        <v>3551047.1</v>
      </c>
      <c r="F16" s="164">
        <v>210811.9</v>
      </c>
      <c r="G16" s="164">
        <f>E16-F16</f>
        <v>3340235.2</v>
      </c>
      <c r="H16" s="164">
        <v>324527.7</v>
      </c>
      <c r="I16" s="164">
        <f>G16-H16</f>
        <v>3015707.5</v>
      </c>
      <c r="J16" s="98" t="s">
        <v>138</v>
      </c>
      <c r="K16" s="77" t="s">
        <v>139</v>
      </c>
      <c r="L16" s="141"/>
      <c r="M16" s="199"/>
      <c r="S16" s="121"/>
      <c r="T16" s="121"/>
      <c r="U16" s="121"/>
      <c r="V16" s="121"/>
      <c r="W16" s="121"/>
      <c r="AE16" s="121"/>
      <c r="AF16" s="121"/>
      <c r="AG16" s="121"/>
      <c r="AH16" s="121"/>
      <c r="AI16" s="121"/>
    </row>
    <row r="17" spans="1:35" s="120" customFormat="1" ht="25.5" customHeight="1">
      <c r="A17" s="190"/>
      <c r="C17" s="13" t="s">
        <v>140</v>
      </c>
      <c r="D17" s="97" t="s">
        <v>195</v>
      </c>
      <c r="E17" s="164">
        <v>0</v>
      </c>
      <c r="F17" s="164">
        <v>0</v>
      </c>
      <c r="G17" s="164">
        <v>0</v>
      </c>
      <c r="H17" s="164">
        <v>0</v>
      </c>
      <c r="I17" s="164">
        <v>0</v>
      </c>
      <c r="J17" s="98" t="s">
        <v>141</v>
      </c>
      <c r="K17" s="77" t="s">
        <v>142</v>
      </c>
      <c r="L17" s="141"/>
      <c r="M17" s="199"/>
      <c r="S17" s="121"/>
      <c r="T17" s="121"/>
      <c r="U17" s="121"/>
      <c r="V17" s="121"/>
      <c r="W17" s="121"/>
      <c r="AE17" s="121"/>
      <c r="AF17" s="121"/>
      <c r="AG17" s="121"/>
      <c r="AH17" s="121"/>
      <c r="AI17" s="121"/>
    </row>
    <row r="18" spans="1:35" s="120" customFormat="1" ht="38.25" customHeight="1">
      <c r="A18" s="190"/>
      <c r="C18" s="13" t="s">
        <v>143</v>
      </c>
      <c r="D18" s="97" t="s">
        <v>197</v>
      </c>
      <c r="E18" s="164">
        <v>22733063.600000001</v>
      </c>
      <c r="F18" s="164">
        <v>3147897.2</v>
      </c>
      <c r="G18" s="164">
        <f>E18-F18</f>
        <v>19585166.400000002</v>
      </c>
      <c r="H18" s="164">
        <v>18922866.100000001</v>
      </c>
      <c r="I18" s="164">
        <f>G18-H18</f>
        <v>662300.30000000075</v>
      </c>
      <c r="J18" s="98" t="s">
        <v>144</v>
      </c>
      <c r="K18" s="77" t="s">
        <v>145</v>
      </c>
      <c r="L18" s="70"/>
      <c r="M18" s="121"/>
      <c r="S18" s="121"/>
      <c r="T18" s="121"/>
      <c r="U18" s="121"/>
      <c r="V18" s="121"/>
      <c r="W18" s="121"/>
      <c r="AE18" s="121"/>
      <c r="AF18" s="121"/>
      <c r="AG18" s="121"/>
      <c r="AH18" s="121"/>
      <c r="AI18" s="121"/>
    </row>
    <row r="19" spans="1:35" s="120" customFormat="1" ht="21.75" customHeight="1">
      <c r="A19" s="190"/>
      <c r="C19" s="13" t="s">
        <v>146</v>
      </c>
      <c r="D19" s="97" t="s">
        <v>147</v>
      </c>
      <c r="E19" s="164">
        <v>10148239.4</v>
      </c>
      <c r="F19" s="164">
        <v>231779.7</v>
      </c>
      <c r="G19" s="164">
        <f>E19-F19</f>
        <v>9916459.7000000011</v>
      </c>
      <c r="H19" s="164">
        <v>9581120.5000000019</v>
      </c>
      <c r="I19" s="164">
        <f>G19-H19</f>
        <v>335339.19999999925</v>
      </c>
      <c r="J19" s="98" t="s">
        <v>148</v>
      </c>
      <c r="K19" s="77" t="s">
        <v>149</v>
      </c>
      <c r="L19" s="70"/>
      <c r="M19" s="121"/>
      <c r="O19" s="141"/>
      <c r="S19" s="121"/>
      <c r="T19" s="121"/>
      <c r="U19" s="121"/>
      <c r="V19" s="121"/>
      <c r="W19" s="121"/>
      <c r="AE19" s="121"/>
      <c r="AF19" s="121"/>
      <c r="AG19" s="121"/>
      <c r="AH19" s="121"/>
      <c r="AI19" s="121"/>
    </row>
    <row r="20" spans="1:35" s="120" customFormat="1" ht="21.75" customHeight="1">
      <c r="A20" s="190"/>
      <c r="C20" s="13" t="s">
        <v>150</v>
      </c>
      <c r="D20" s="97" t="s">
        <v>199</v>
      </c>
      <c r="E20" s="164">
        <v>3558065</v>
      </c>
      <c r="F20" s="164">
        <v>496116.2</v>
      </c>
      <c r="G20" s="164">
        <f>E20-F20</f>
        <v>3061948.8</v>
      </c>
      <c r="H20" s="164">
        <v>2958404.6</v>
      </c>
      <c r="I20" s="164">
        <f>G20-H20</f>
        <v>103544.19999999972</v>
      </c>
      <c r="J20" s="98" t="s">
        <v>151</v>
      </c>
      <c r="K20" s="77" t="s">
        <v>152</v>
      </c>
      <c r="L20" s="70"/>
      <c r="M20" s="121"/>
      <c r="O20" s="141"/>
      <c r="S20" s="121"/>
      <c r="T20" s="121"/>
      <c r="U20" s="121"/>
      <c r="V20" s="121"/>
      <c r="W20" s="121"/>
      <c r="AE20" s="121"/>
      <c r="AF20" s="121"/>
      <c r="AG20" s="121"/>
      <c r="AH20" s="121"/>
      <c r="AI20" s="121"/>
    </row>
    <row r="21" spans="1:35" s="120" customFormat="1" ht="24.75" customHeight="1">
      <c r="A21" s="190"/>
      <c r="C21" s="13" t="s">
        <v>153</v>
      </c>
      <c r="D21" s="97" t="s">
        <v>200</v>
      </c>
      <c r="E21" s="164">
        <v>1609021.3</v>
      </c>
      <c r="F21" s="164">
        <v>155748.79999999999</v>
      </c>
      <c r="G21" s="164">
        <f>E21-F21</f>
        <v>1453272.5</v>
      </c>
      <c r="H21" s="164">
        <v>1404128</v>
      </c>
      <c r="I21" s="164">
        <f>G21-H21</f>
        <v>49144.5</v>
      </c>
      <c r="J21" s="98" t="s">
        <v>154</v>
      </c>
      <c r="K21" s="77" t="s">
        <v>155</v>
      </c>
      <c r="L21" s="70"/>
      <c r="M21" s="121"/>
      <c r="O21" s="141"/>
      <c r="S21" s="121"/>
      <c r="T21" s="121"/>
      <c r="U21" s="121"/>
      <c r="V21" s="121"/>
      <c r="W21" s="121"/>
      <c r="AE21" s="121"/>
      <c r="AF21" s="121"/>
      <c r="AG21" s="121"/>
      <c r="AH21" s="121"/>
      <c r="AI21" s="121"/>
    </row>
    <row r="22" spans="1:35" s="120" customFormat="1" ht="25.5" customHeight="1">
      <c r="A22" s="190"/>
      <c r="C22" s="13" t="s">
        <v>156</v>
      </c>
      <c r="D22" s="97" t="s">
        <v>201</v>
      </c>
      <c r="E22" s="206">
        <v>0</v>
      </c>
      <c r="F22" s="206">
        <v>0</v>
      </c>
      <c r="G22" s="206">
        <v>0</v>
      </c>
      <c r="H22" s="164">
        <v>0</v>
      </c>
      <c r="I22" s="164">
        <v>0</v>
      </c>
      <c r="J22" s="98" t="s">
        <v>157</v>
      </c>
      <c r="K22" s="77" t="s">
        <v>158</v>
      </c>
      <c r="L22" s="70"/>
      <c r="M22" s="121"/>
      <c r="O22" s="143"/>
      <c r="S22" s="121"/>
      <c r="T22" s="121"/>
      <c r="U22" s="121"/>
      <c r="V22" s="121"/>
      <c r="W22" s="121"/>
      <c r="AE22" s="121"/>
      <c r="AF22" s="121"/>
      <c r="AG22" s="121"/>
      <c r="AH22" s="121"/>
      <c r="AI22" s="121"/>
    </row>
    <row r="23" spans="1:35" s="120" customFormat="1" ht="23.25" customHeight="1" thickBot="1">
      <c r="A23" s="190"/>
      <c r="C23" s="144" t="s">
        <v>159</v>
      </c>
      <c r="D23" s="101" t="s">
        <v>202</v>
      </c>
      <c r="E23" s="207" t="s">
        <v>98</v>
      </c>
      <c r="F23" s="207" t="s">
        <v>98</v>
      </c>
      <c r="G23" s="207" t="s">
        <v>98</v>
      </c>
      <c r="H23" s="223" t="s">
        <v>98</v>
      </c>
      <c r="I23" s="223" t="s">
        <v>98</v>
      </c>
      <c r="J23" s="102" t="s">
        <v>160</v>
      </c>
      <c r="K23" s="79" t="s">
        <v>161</v>
      </c>
      <c r="L23" s="70"/>
      <c r="M23" s="121"/>
      <c r="S23" s="121"/>
      <c r="T23" s="121"/>
      <c r="U23" s="121"/>
      <c r="V23" s="121"/>
      <c r="W23" s="121"/>
      <c r="AE23" s="121"/>
      <c r="AF23" s="121"/>
      <c r="AG23" s="121"/>
      <c r="AH23" s="121"/>
      <c r="AI23" s="121"/>
    </row>
    <row r="24" spans="1:35" ht="21.75" customHeight="1" thickBot="1">
      <c r="A24" s="189"/>
      <c r="C24" s="392" t="s">
        <v>26</v>
      </c>
      <c r="D24" s="390"/>
      <c r="E24" s="167">
        <f>E5+E8+E9+E10+E11+E12+E13+E15+E16+E18+E19+E20+E21+E14</f>
        <v>153461530.50000003</v>
      </c>
      <c r="F24" s="167">
        <f>F5+F8+F9+F10+F11+F12+F13+F15+F16+F18+F19+F20+F21+F14</f>
        <v>15541687.199999999</v>
      </c>
      <c r="G24" s="167">
        <f>G5+G8+G9+G10+G11+G12+G13+G14+G15+G16+G18+G19+G20+G21</f>
        <v>137919843.30000001</v>
      </c>
      <c r="H24" s="167">
        <f>H5+H8+H9+H10+H11+H12+H13+H14+H15+H16+H18+H19+H20+H21</f>
        <v>40802356.200000003</v>
      </c>
      <c r="I24" s="167">
        <f>I5+I8+I9+I10+I11+I12+I13+I14+I15+I16+I18+I19+I20+I21</f>
        <v>97117487.099999994</v>
      </c>
      <c r="J24" s="390" t="s">
        <v>162</v>
      </c>
      <c r="K24" s="391"/>
      <c r="L24" s="70"/>
      <c r="M24" s="121"/>
      <c r="S24" s="121"/>
      <c r="T24" s="121"/>
      <c r="U24" s="121"/>
      <c r="V24" s="121"/>
      <c r="W24" s="121"/>
      <c r="AE24" s="121"/>
      <c r="AF24" s="121"/>
      <c r="AG24" s="121"/>
      <c r="AH24" s="121"/>
      <c r="AI24" s="121"/>
    </row>
    <row r="25" spans="1:35" ht="18" thickTop="1">
      <c r="A25" s="192">
        <v>12</v>
      </c>
      <c r="C25" s="373" t="s">
        <v>220</v>
      </c>
      <c r="D25" s="373"/>
      <c r="E25" s="83"/>
      <c r="F25" s="83"/>
      <c r="G25" s="119"/>
      <c r="H25" s="83"/>
      <c r="I25" s="119"/>
      <c r="J25" s="83"/>
      <c r="K25" s="83"/>
    </row>
    <row r="28" spans="1:35">
      <c r="E28" s="70"/>
      <c r="F28" s="70"/>
      <c r="G28" s="70"/>
      <c r="H28" s="70"/>
      <c r="I28" s="70"/>
    </row>
  </sheetData>
  <mergeCells count="10">
    <mergeCell ref="C25:D25"/>
    <mergeCell ref="A1:A9"/>
    <mergeCell ref="C1:K1"/>
    <mergeCell ref="C2:K2"/>
    <mergeCell ref="J24:K24"/>
    <mergeCell ref="C3:C4"/>
    <mergeCell ref="D3:D4"/>
    <mergeCell ref="J3:J4"/>
    <mergeCell ref="K3:K4"/>
    <mergeCell ref="C24:D24"/>
  </mergeCells>
  <phoneticPr fontId="2" type="noConversion"/>
  <printOptions horizontalCentered="1" verticalCentered="1"/>
  <pageMargins left="0.15748031496063" right="0.23622047244094499" top="0.35433070866141703" bottom="0.27559055118110198" header="0.196850393700787" footer="0.196850393700787"/>
  <pageSetup paperSize="9" scale="83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R79"/>
  <sheetViews>
    <sheetView rightToLeft="1" view="pageBreakPreview" zoomScaleSheetLayoutView="100" workbookViewId="0">
      <selection activeCell="A29" sqref="A29"/>
    </sheetView>
  </sheetViews>
  <sheetFormatPr defaultRowHeight="12.75"/>
  <cols>
    <col min="1" max="1" width="5.28515625" style="1" customWidth="1"/>
    <col min="2" max="2" width="3.85546875" style="1" customWidth="1"/>
    <col min="3" max="3" width="5.42578125" style="1" customWidth="1"/>
    <col min="4" max="4" width="24.5703125" style="1" customWidth="1"/>
    <col min="5" max="9" width="16.85546875" style="1" customWidth="1"/>
    <col min="10" max="10" width="39.42578125" style="1" customWidth="1"/>
    <col min="11" max="11" width="5.7109375" style="1" customWidth="1"/>
    <col min="12" max="12" width="12.7109375" style="1" customWidth="1"/>
    <col min="13" max="13" width="11.85546875" style="1" customWidth="1"/>
    <col min="14" max="14" width="11.28515625" style="1" customWidth="1"/>
    <col min="15" max="15" width="10.85546875" style="1" customWidth="1"/>
    <col min="16" max="16" width="10.28515625" style="1" customWidth="1"/>
    <col min="17" max="17" width="10.85546875" style="1" customWidth="1"/>
    <col min="18" max="16384" width="9.140625" style="1"/>
  </cols>
  <sheetData>
    <row r="1" spans="1:18" s="107" customFormat="1" ht="33" customHeight="1">
      <c r="A1" s="358" t="s">
        <v>217</v>
      </c>
      <c r="C1" s="397" t="s">
        <v>255</v>
      </c>
      <c r="D1" s="397"/>
      <c r="E1" s="397"/>
      <c r="F1" s="397"/>
      <c r="G1" s="397"/>
      <c r="H1" s="397"/>
      <c r="I1" s="397"/>
      <c r="J1" s="397"/>
      <c r="K1" s="397"/>
    </row>
    <row r="2" spans="1:18" s="107" customFormat="1" ht="33" customHeight="1" thickBot="1">
      <c r="A2" s="358"/>
      <c r="C2" s="398" t="s">
        <v>234</v>
      </c>
      <c r="D2" s="398"/>
      <c r="E2" s="398"/>
      <c r="F2" s="398"/>
      <c r="G2" s="398"/>
      <c r="H2" s="398"/>
      <c r="I2" s="398"/>
      <c r="J2" s="398"/>
      <c r="K2" s="398"/>
    </row>
    <row r="3" spans="1:18" ht="24.95" customHeight="1" thickTop="1">
      <c r="A3" s="358"/>
      <c r="C3" s="366" t="s">
        <v>45</v>
      </c>
      <c r="D3" s="366" t="s">
        <v>206</v>
      </c>
      <c r="E3" s="259" t="s">
        <v>64</v>
      </c>
      <c r="F3" s="259" t="s">
        <v>65</v>
      </c>
      <c r="G3" s="225" t="s">
        <v>66</v>
      </c>
      <c r="H3" s="225" t="s">
        <v>34</v>
      </c>
      <c r="I3" s="225" t="s">
        <v>36</v>
      </c>
      <c r="J3" s="387" t="s">
        <v>102</v>
      </c>
      <c r="K3" s="387" t="s">
        <v>103</v>
      </c>
    </row>
    <row r="4" spans="1:18" ht="24.95" customHeight="1" thickBot="1">
      <c r="A4" s="358"/>
      <c r="C4" s="367"/>
      <c r="D4" s="367"/>
      <c r="E4" s="112" t="s">
        <v>67</v>
      </c>
      <c r="F4" s="112" t="s">
        <v>68</v>
      </c>
      <c r="G4" s="226" t="s">
        <v>69</v>
      </c>
      <c r="H4" s="112" t="s">
        <v>33</v>
      </c>
      <c r="I4" s="112" t="s">
        <v>70</v>
      </c>
      <c r="J4" s="388"/>
      <c r="K4" s="388"/>
    </row>
    <row r="5" spans="1:18" ht="21.75" customHeight="1">
      <c r="A5" s="358"/>
      <c r="C5" s="10" t="s">
        <v>104</v>
      </c>
      <c r="D5" s="95" t="s">
        <v>193</v>
      </c>
      <c r="E5" s="206">
        <f>9525316.1-E6</f>
        <v>9231286.6999999993</v>
      </c>
      <c r="F5" s="206">
        <f>3003478.7-F6</f>
        <v>2960138.8000000003</v>
      </c>
      <c r="G5" s="206">
        <f>E5-F5</f>
        <v>6271147.8999999985</v>
      </c>
      <c r="H5" s="164">
        <v>2155982.5</v>
      </c>
      <c r="I5" s="164">
        <f>G5-H5</f>
        <v>4115165.3999999985</v>
      </c>
      <c r="J5" s="96" t="s">
        <v>105</v>
      </c>
      <c r="K5" s="76" t="s">
        <v>106</v>
      </c>
    </row>
    <row r="6" spans="1:18" ht="21.75" customHeight="1">
      <c r="A6" s="358"/>
      <c r="C6" s="13" t="s">
        <v>107</v>
      </c>
      <c r="D6" s="97" t="s">
        <v>108</v>
      </c>
      <c r="E6" s="206">
        <v>294029.40000000002</v>
      </c>
      <c r="F6" s="206">
        <v>43339.9</v>
      </c>
      <c r="G6" s="206">
        <f>E6-F6</f>
        <v>250689.50000000003</v>
      </c>
      <c r="H6" s="164">
        <v>86237.2</v>
      </c>
      <c r="I6" s="164">
        <f>G6-H6</f>
        <v>164452.30000000005</v>
      </c>
      <c r="J6" s="98" t="s">
        <v>109</v>
      </c>
      <c r="K6" s="77" t="s">
        <v>110</v>
      </c>
    </row>
    <row r="7" spans="1:18" ht="21.75" customHeight="1">
      <c r="A7" s="358"/>
      <c r="C7" s="13" t="s">
        <v>111</v>
      </c>
      <c r="D7" s="97" t="s">
        <v>51</v>
      </c>
      <c r="E7" s="206">
        <f>E9</f>
        <v>646494.4</v>
      </c>
      <c r="F7" s="206">
        <f>F9</f>
        <v>246249.7</v>
      </c>
      <c r="G7" s="206">
        <f>E7-F7</f>
        <v>400244.7</v>
      </c>
      <c r="H7" s="206">
        <f>H9</f>
        <v>68401.8</v>
      </c>
      <c r="I7" s="206">
        <f>G7-H7</f>
        <v>331842.90000000002</v>
      </c>
      <c r="J7" s="98" t="s">
        <v>52</v>
      </c>
      <c r="K7" s="77" t="s">
        <v>112</v>
      </c>
      <c r="L7" s="70"/>
    </row>
    <row r="8" spans="1:18" ht="21.75" customHeight="1">
      <c r="A8" s="358"/>
      <c r="C8" s="13"/>
      <c r="D8" s="97" t="s">
        <v>113</v>
      </c>
      <c r="E8" s="206">
        <v>0</v>
      </c>
      <c r="F8" s="206">
        <v>0</v>
      </c>
      <c r="G8" s="206">
        <v>0</v>
      </c>
      <c r="H8" s="206">
        <v>0</v>
      </c>
      <c r="I8" s="206">
        <v>0</v>
      </c>
      <c r="J8" s="98" t="s">
        <v>114</v>
      </c>
      <c r="K8" s="77"/>
    </row>
    <row r="9" spans="1:18" ht="21.75" customHeight="1">
      <c r="A9" s="358"/>
      <c r="C9" s="13"/>
      <c r="D9" s="97" t="s">
        <v>115</v>
      </c>
      <c r="E9" s="206">
        <v>646494.4</v>
      </c>
      <c r="F9" s="206">
        <v>246249.7</v>
      </c>
      <c r="G9" s="206">
        <f t="shared" ref="G9:G12" si="0">E9-F9</f>
        <v>400244.7</v>
      </c>
      <c r="H9" s="206">
        <v>68401.8</v>
      </c>
      <c r="I9" s="206">
        <f t="shared" ref="I9:I17" si="1">G9-H9</f>
        <v>331842.90000000002</v>
      </c>
      <c r="J9" s="100" t="s">
        <v>116</v>
      </c>
      <c r="K9" s="77"/>
    </row>
    <row r="10" spans="1:18" s="120" customFormat="1" ht="21.75" customHeight="1">
      <c r="A10" s="190"/>
      <c r="C10" s="13" t="s">
        <v>117</v>
      </c>
      <c r="D10" s="97" t="s">
        <v>207</v>
      </c>
      <c r="E10" s="164">
        <v>7053258.0999999996</v>
      </c>
      <c r="F10" s="164">
        <v>4048340.3</v>
      </c>
      <c r="G10" s="164">
        <f t="shared" si="0"/>
        <v>3004917.8</v>
      </c>
      <c r="H10" s="164">
        <v>720532</v>
      </c>
      <c r="I10" s="164">
        <f t="shared" si="1"/>
        <v>2284385.7999999998</v>
      </c>
      <c r="J10" s="98" t="s">
        <v>61</v>
      </c>
      <c r="K10" s="77" t="s">
        <v>118</v>
      </c>
      <c r="M10" s="141"/>
    </row>
    <row r="11" spans="1:18" s="120" customFormat="1" ht="21.75" customHeight="1">
      <c r="A11" s="190"/>
      <c r="C11" s="13" t="s">
        <v>119</v>
      </c>
      <c r="D11" s="97" t="s">
        <v>120</v>
      </c>
      <c r="E11" s="164">
        <v>2454238.7999999998</v>
      </c>
      <c r="F11" s="164">
        <v>1347377.1</v>
      </c>
      <c r="G11" s="164">
        <f>E11-F11</f>
        <v>1106861.6999999997</v>
      </c>
      <c r="H11" s="164">
        <v>332058.5</v>
      </c>
      <c r="I11" s="164">
        <f t="shared" si="1"/>
        <v>774803.19999999972</v>
      </c>
      <c r="J11" s="98" t="s">
        <v>121</v>
      </c>
      <c r="K11" s="77" t="s">
        <v>122</v>
      </c>
    </row>
    <row r="12" spans="1:18" s="120" customFormat="1" ht="21.75" customHeight="1">
      <c r="A12" s="190"/>
      <c r="C12" s="13" t="s">
        <v>123</v>
      </c>
      <c r="D12" s="97" t="s">
        <v>2</v>
      </c>
      <c r="E12" s="164">
        <v>22003215.699999999</v>
      </c>
      <c r="F12" s="164">
        <v>9015426</v>
      </c>
      <c r="G12" s="164">
        <f t="shared" si="0"/>
        <v>12987789.699999999</v>
      </c>
      <c r="H12" s="164">
        <v>5295210.4000000004</v>
      </c>
      <c r="I12" s="164">
        <f t="shared" si="1"/>
        <v>7692579.2999999989</v>
      </c>
      <c r="J12" s="98" t="s">
        <v>124</v>
      </c>
      <c r="K12" s="77" t="s">
        <v>125</v>
      </c>
    </row>
    <row r="13" spans="1:18" s="120" customFormat="1" ht="36" customHeight="1">
      <c r="A13" s="190"/>
      <c r="C13" s="13" t="s">
        <v>126</v>
      </c>
      <c r="D13" s="97" t="s">
        <v>198</v>
      </c>
      <c r="E13" s="164">
        <f>24321373.5-E14</f>
        <v>19440610.199999999</v>
      </c>
      <c r="F13" s="164">
        <f>6944227.9-F14</f>
        <v>4551787.5</v>
      </c>
      <c r="G13" s="164">
        <f>E13-F13</f>
        <v>14888822.699999999</v>
      </c>
      <c r="H13" s="164">
        <f>2695509.7-H14</f>
        <v>2045741.4000000001</v>
      </c>
      <c r="I13" s="164">
        <f>G13-H13</f>
        <v>12843081.299999999</v>
      </c>
      <c r="J13" s="98" t="s">
        <v>127</v>
      </c>
      <c r="K13" s="77" t="s">
        <v>128</v>
      </c>
      <c r="L13" s="178">
        <v>12</v>
      </c>
      <c r="M13" s="141"/>
      <c r="N13" s="141"/>
      <c r="O13" s="141"/>
      <c r="P13" s="141"/>
      <c r="Q13" s="141"/>
    </row>
    <row r="14" spans="1:18" s="120" customFormat="1" ht="19.5" customHeight="1">
      <c r="A14" s="190"/>
      <c r="C14" s="13" t="s">
        <v>129</v>
      </c>
      <c r="D14" s="97" t="s">
        <v>130</v>
      </c>
      <c r="E14" s="164">
        <v>4880763.3</v>
      </c>
      <c r="F14" s="164">
        <v>2392440.4</v>
      </c>
      <c r="G14" s="164">
        <f>E14-F14</f>
        <v>2488322.9</v>
      </c>
      <c r="H14" s="164">
        <v>649768.30000000005</v>
      </c>
      <c r="I14" s="164">
        <f>G14-H14</f>
        <v>1838554.5999999999</v>
      </c>
      <c r="J14" s="98" t="s">
        <v>131</v>
      </c>
      <c r="K14" s="77" t="s">
        <v>132</v>
      </c>
      <c r="M14" s="141"/>
      <c r="N14" s="141"/>
      <c r="O14" s="141"/>
      <c r="P14" s="141"/>
      <c r="Q14" s="141"/>
      <c r="R14" s="141"/>
    </row>
    <row r="15" spans="1:18" s="120" customFormat="1" ht="23.25" customHeight="1">
      <c r="A15" s="190"/>
      <c r="C15" s="13" t="s">
        <v>133</v>
      </c>
      <c r="D15" s="97" t="s">
        <v>134</v>
      </c>
      <c r="E15" s="164">
        <v>35942957.799999997</v>
      </c>
      <c r="F15" s="164">
        <v>13472062.1</v>
      </c>
      <c r="G15" s="164">
        <f>E15-F15</f>
        <v>22470895.699999996</v>
      </c>
      <c r="H15" s="164">
        <v>12122236.1</v>
      </c>
      <c r="I15" s="164">
        <f t="shared" si="1"/>
        <v>10348659.599999996</v>
      </c>
      <c r="J15" s="98" t="s">
        <v>135</v>
      </c>
      <c r="K15" s="77" t="s">
        <v>136</v>
      </c>
    </row>
    <row r="16" spans="1:18" s="120" customFormat="1" ht="20.25" customHeight="1">
      <c r="A16" s="190"/>
      <c r="C16" s="13" t="s">
        <v>137</v>
      </c>
      <c r="D16" s="97" t="s">
        <v>205</v>
      </c>
      <c r="E16" s="164">
        <f>1071131.9-179204</f>
        <v>891927.89999999991</v>
      </c>
      <c r="F16" s="164">
        <f>273493.6-48873.9</f>
        <v>224619.69999999998</v>
      </c>
      <c r="G16" s="164">
        <f>E16-F16</f>
        <v>667308.19999999995</v>
      </c>
      <c r="H16" s="164">
        <f>165365.5-5605</f>
        <v>159760.5</v>
      </c>
      <c r="I16" s="164">
        <f>G16-H16</f>
        <v>507547.69999999995</v>
      </c>
      <c r="J16" s="98" t="s">
        <v>138</v>
      </c>
      <c r="K16" s="77" t="s">
        <v>139</v>
      </c>
      <c r="L16" s="141"/>
    </row>
    <row r="17" spans="1:12" s="120" customFormat="1" ht="25.5" customHeight="1">
      <c r="A17" s="190"/>
      <c r="C17" s="13" t="s">
        <v>140</v>
      </c>
      <c r="D17" s="97" t="s">
        <v>195</v>
      </c>
      <c r="E17" s="164">
        <f>179204+18817478.2</f>
        <v>18996682.199999999</v>
      </c>
      <c r="F17" s="164">
        <f>48873.9+3764736.1</f>
        <v>3813610</v>
      </c>
      <c r="G17" s="164">
        <f>E17-F17</f>
        <v>15183072.199999999</v>
      </c>
      <c r="H17" s="164">
        <f>5605+6777</f>
        <v>12382</v>
      </c>
      <c r="I17" s="164">
        <f t="shared" si="1"/>
        <v>15170690.199999999</v>
      </c>
      <c r="J17" s="98" t="s">
        <v>141</v>
      </c>
      <c r="K17" s="77" t="s">
        <v>142</v>
      </c>
    </row>
    <row r="18" spans="1:12" s="120" customFormat="1" ht="38.25" customHeight="1">
      <c r="A18" s="190"/>
      <c r="C18" s="13" t="s">
        <v>143</v>
      </c>
      <c r="D18" s="97" t="s">
        <v>196</v>
      </c>
      <c r="E18" s="164">
        <v>0</v>
      </c>
      <c r="F18" s="164">
        <v>0</v>
      </c>
      <c r="G18" s="164">
        <v>0</v>
      </c>
      <c r="H18" s="164">
        <v>0</v>
      </c>
      <c r="I18" s="164">
        <v>0</v>
      </c>
      <c r="J18" s="98" t="s">
        <v>144</v>
      </c>
      <c r="K18" s="77" t="s">
        <v>145</v>
      </c>
    </row>
    <row r="19" spans="1:12" s="120" customFormat="1" ht="18.75" customHeight="1">
      <c r="A19" s="190"/>
      <c r="C19" s="13" t="s">
        <v>146</v>
      </c>
      <c r="D19" s="97" t="s">
        <v>147</v>
      </c>
      <c r="E19" s="164">
        <v>1250759.5</v>
      </c>
      <c r="F19" s="164">
        <v>312689.90000000002</v>
      </c>
      <c r="G19" s="164">
        <f>E19-F19</f>
        <v>938069.6</v>
      </c>
      <c r="H19" s="164">
        <v>281420.90000000002</v>
      </c>
      <c r="I19" s="164">
        <f>G19-H19</f>
        <v>656648.69999999995</v>
      </c>
      <c r="J19" s="98" t="s">
        <v>148</v>
      </c>
      <c r="K19" s="77" t="s">
        <v>149</v>
      </c>
      <c r="L19" s="142"/>
    </row>
    <row r="20" spans="1:12" s="120" customFormat="1" ht="18.75" customHeight="1">
      <c r="A20" s="190"/>
      <c r="C20" s="13" t="s">
        <v>150</v>
      </c>
      <c r="D20" s="97" t="s">
        <v>199</v>
      </c>
      <c r="E20" s="164">
        <v>5055754.0999999996</v>
      </c>
      <c r="F20" s="164">
        <v>1263938.5</v>
      </c>
      <c r="G20" s="164">
        <f>E20-F20</f>
        <v>3791815.5999999996</v>
      </c>
      <c r="H20" s="164">
        <v>1137544.7</v>
      </c>
      <c r="I20" s="164">
        <f>G20-H20</f>
        <v>2654270.8999999994</v>
      </c>
      <c r="J20" s="98" t="s">
        <v>151</v>
      </c>
      <c r="K20" s="77" t="s">
        <v>152</v>
      </c>
      <c r="L20" s="142"/>
    </row>
    <row r="21" spans="1:12" s="120" customFormat="1" ht="24.75" customHeight="1">
      <c r="A21" s="190"/>
      <c r="C21" s="13" t="s">
        <v>153</v>
      </c>
      <c r="D21" s="97" t="s">
        <v>200</v>
      </c>
      <c r="E21" s="164">
        <v>2893498.6</v>
      </c>
      <c r="F21" s="164">
        <v>723374.6</v>
      </c>
      <c r="G21" s="164">
        <f>E21-F21</f>
        <v>2170124</v>
      </c>
      <c r="H21" s="164">
        <v>651037.19999999995</v>
      </c>
      <c r="I21" s="164">
        <f>G21-H21</f>
        <v>1519086.8</v>
      </c>
      <c r="J21" s="98" t="s">
        <v>154</v>
      </c>
      <c r="K21" s="77" t="s">
        <v>155</v>
      </c>
      <c r="L21" s="142"/>
    </row>
    <row r="22" spans="1:12" s="120" customFormat="1" ht="25.5" customHeight="1">
      <c r="A22" s="190"/>
      <c r="C22" s="13" t="s">
        <v>156</v>
      </c>
      <c r="D22" s="97" t="s">
        <v>201</v>
      </c>
      <c r="E22" s="164">
        <v>96397.7</v>
      </c>
      <c r="F22" s="164">
        <v>0</v>
      </c>
      <c r="G22" s="164">
        <f>E22</f>
        <v>96397.7</v>
      </c>
      <c r="H22" s="164">
        <v>96397.7</v>
      </c>
      <c r="I22" s="164">
        <v>0</v>
      </c>
      <c r="J22" s="98" t="s">
        <v>157</v>
      </c>
      <c r="K22" s="77" t="s">
        <v>158</v>
      </c>
      <c r="L22" s="145"/>
    </row>
    <row r="23" spans="1:12" ht="23.25" customHeight="1" thickBot="1">
      <c r="A23" s="189"/>
      <c r="C23" s="82" t="s">
        <v>159</v>
      </c>
      <c r="D23" s="101" t="s">
        <v>202</v>
      </c>
      <c r="E23" s="223" t="s">
        <v>98</v>
      </c>
      <c r="F23" s="223" t="s">
        <v>98</v>
      </c>
      <c r="G23" s="223" t="s">
        <v>98</v>
      </c>
      <c r="H23" s="223" t="s">
        <v>98</v>
      </c>
      <c r="I23" s="223" t="s">
        <v>98</v>
      </c>
      <c r="J23" s="102" t="s">
        <v>160</v>
      </c>
      <c r="K23" s="79" t="s">
        <v>161</v>
      </c>
      <c r="L23" s="70"/>
    </row>
    <row r="24" spans="1:12" ht="21.75" customHeight="1" thickBot="1">
      <c r="A24" s="189"/>
      <c r="C24" s="392" t="s">
        <v>203</v>
      </c>
      <c r="D24" s="390"/>
      <c r="E24" s="167">
        <f>E5+E6+E9+E10+E11+E12+E13+E14+E15+E16+E17+E19+E20+E21+E22</f>
        <v>131131874.39999999</v>
      </c>
      <c r="F24" s="167">
        <f>F5+F6+F9+F10+F11+F12+F13+F14+F15+F16+F17+F19+F20+F21</f>
        <v>44415394.5</v>
      </c>
      <c r="G24" s="167">
        <f>G5+G6+G9+G10+G11+G12+G13+G14+G15+G16+G17+G19+G20+G21+G22</f>
        <v>86716479.899999991</v>
      </c>
      <c r="H24" s="167">
        <f>H5+H6+H9+H10+H11+H12+H13+H14+H15+H16+H17+H19+H20+H21+H22</f>
        <v>25814711.199999999</v>
      </c>
      <c r="I24" s="167">
        <f>I5+I6+I9+I10+I11+I12+I13+I14+I15+I16+I17+I19+I20+I21</f>
        <v>60901768.699999996</v>
      </c>
      <c r="J24" s="390" t="s">
        <v>162</v>
      </c>
      <c r="K24" s="391"/>
    </row>
    <row r="25" spans="1:12" ht="18" thickTop="1">
      <c r="A25" s="191">
        <v>13</v>
      </c>
      <c r="C25" s="373" t="s">
        <v>220</v>
      </c>
      <c r="D25" s="373"/>
      <c r="E25" s="83"/>
      <c r="F25" s="83"/>
      <c r="G25" s="119"/>
      <c r="H25" s="83"/>
      <c r="I25" s="119"/>
      <c r="J25" s="119"/>
      <c r="K25" s="83"/>
    </row>
    <row r="26" spans="1:12">
      <c r="A26" s="191"/>
      <c r="C26" s="205"/>
      <c r="D26" s="205"/>
      <c r="E26" s="83"/>
      <c r="F26" s="83"/>
      <c r="G26" s="119"/>
      <c r="H26" s="83"/>
      <c r="I26" s="119"/>
      <c r="J26" s="119"/>
      <c r="K26" s="83"/>
    </row>
    <row r="27" spans="1:12">
      <c r="A27" s="191"/>
      <c r="C27" s="205"/>
      <c r="D27" s="205"/>
      <c r="E27" s="119"/>
      <c r="F27" s="119"/>
      <c r="G27" s="119"/>
      <c r="H27" s="119"/>
      <c r="I27" s="119"/>
      <c r="J27" s="119"/>
      <c r="K27" s="83"/>
    </row>
    <row r="28" spans="1:12">
      <c r="A28" s="191"/>
      <c r="C28" s="205"/>
      <c r="D28" s="205"/>
      <c r="E28" s="220"/>
      <c r="F28" s="220"/>
      <c r="G28" s="220"/>
      <c r="H28" s="220"/>
      <c r="I28" s="220"/>
      <c r="J28" s="119"/>
      <c r="K28" s="83"/>
    </row>
    <row r="29" spans="1:12">
      <c r="A29" s="191"/>
      <c r="C29" s="205"/>
      <c r="D29" s="205"/>
      <c r="E29" s="219"/>
      <c r="F29" s="219"/>
      <c r="G29" s="219"/>
      <c r="H29" s="219"/>
      <c r="I29" s="219"/>
      <c r="J29" s="119"/>
      <c r="K29" s="83"/>
    </row>
    <row r="30" spans="1:12">
      <c r="A30" s="191"/>
      <c r="C30" s="205"/>
      <c r="D30" s="205"/>
      <c r="E30" s="219"/>
      <c r="F30" s="219"/>
      <c r="G30" s="219"/>
      <c r="H30" s="219"/>
      <c r="I30" s="219"/>
      <c r="J30" s="119"/>
      <c r="K30" s="83"/>
    </row>
    <row r="31" spans="1:12">
      <c r="A31" s="191"/>
      <c r="C31" s="205"/>
      <c r="D31" s="205"/>
      <c r="E31" s="119"/>
      <c r="F31" s="119"/>
      <c r="G31" s="119"/>
      <c r="H31" s="119"/>
      <c r="I31" s="119"/>
      <c r="J31" s="119"/>
      <c r="K31" s="83"/>
    </row>
    <row r="32" spans="1:12">
      <c r="A32" s="191"/>
      <c r="C32" s="205"/>
      <c r="D32" s="205"/>
      <c r="E32" s="119"/>
      <c r="F32" s="119"/>
      <c r="G32" s="119"/>
      <c r="H32" s="119"/>
      <c r="I32" s="119"/>
      <c r="J32" s="119"/>
      <c r="K32" s="83"/>
    </row>
    <row r="33" spans="1:11">
      <c r="A33" s="191"/>
      <c r="C33" s="205"/>
      <c r="D33" s="205"/>
      <c r="E33" s="220"/>
      <c r="F33" s="220"/>
      <c r="G33" s="220"/>
      <c r="H33" s="220"/>
      <c r="I33" s="220"/>
      <c r="J33" s="119"/>
      <c r="K33" s="83"/>
    </row>
    <row r="34" spans="1:11">
      <c r="A34" s="189"/>
      <c r="E34" s="216"/>
      <c r="F34" s="216"/>
      <c r="G34" s="216"/>
      <c r="H34" s="216"/>
      <c r="I34" s="216"/>
      <c r="J34" s="70"/>
    </row>
    <row r="35" spans="1:11">
      <c r="A35" s="189"/>
      <c r="E35" s="70"/>
      <c r="F35" s="70"/>
      <c r="G35" s="70"/>
      <c r="H35" s="70"/>
      <c r="I35" s="70"/>
      <c r="J35" s="70"/>
    </row>
    <row r="36" spans="1:11">
      <c r="E36" s="70"/>
      <c r="F36" s="70"/>
      <c r="G36" s="70"/>
      <c r="H36" s="164"/>
      <c r="I36" s="70"/>
      <c r="J36" s="70"/>
    </row>
    <row r="37" spans="1:11">
      <c r="E37" s="70"/>
      <c r="F37" s="70"/>
      <c r="G37" s="70"/>
      <c r="H37" s="70"/>
      <c r="I37" s="70"/>
      <c r="J37" s="70"/>
    </row>
    <row r="38" spans="1:11">
      <c r="G38" s="70"/>
      <c r="H38" s="70"/>
      <c r="I38" s="70"/>
      <c r="J38" s="70"/>
    </row>
    <row r="39" spans="1:11">
      <c r="E39" s="70"/>
      <c r="F39" s="70"/>
      <c r="G39" s="70"/>
      <c r="H39" s="70"/>
      <c r="I39" s="70"/>
    </row>
    <row r="40" spans="1:11">
      <c r="E40" s="70"/>
      <c r="F40" s="70"/>
      <c r="G40" s="70"/>
      <c r="H40" s="70"/>
      <c r="I40" s="70"/>
    </row>
    <row r="41" spans="1:11" ht="15.75">
      <c r="E41" s="70"/>
      <c r="F41" s="84"/>
      <c r="G41" s="84"/>
      <c r="H41" s="174"/>
    </row>
    <row r="42" spans="1:11">
      <c r="E42" s="70"/>
      <c r="F42" s="70"/>
      <c r="G42" s="70"/>
      <c r="H42" s="70"/>
      <c r="I42" s="70"/>
    </row>
    <row r="43" spans="1:11">
      <c r="E43" s="70"/>
      <c r="F43" s="70"/>
      <c r="G43" s="70"/>
      <c r="H43" s="70"/>
      <c r="I43" s="70"/>
    </row>
    <row r="44" spans="1:11">
      <c r="E44" s="70"/>
      <c r="F44" s="70"/>
      <c r="G44" s="70"/>
      <c r="H44" s="70"/>
      <c r="I44" s="70"/>
    </row>
    <row r="45" spans="1:11">
      <c r="E45" s="70"/>
      <c r="F45" s="70"/>
      <c r="G45" s="70"/>
      <c r="H45" s="70"/>
      <c r="I45" s="70"/>
    </row>
    <row r="46" spans="1:11">
      <c r="H46" s="70"/>
      <c r="I46" s="70"/>
    </row>
    <row r="47" spans="1:11">
      <c r="H47" s="70"/>
      <c r="I47" s="70"/>
    </row>
    <row r="48" spans="1:11">
      <c r="H48" s="70"/>
    </row>
    <row r="50" spans="8:8">
      <c r="H50" s="70"/>
    </row>
    <row r="53" spans="8:8">
      <c r="H53" s="70"/>
    </row>
    <row r="54" spans="8:8">
      <c r="H54" s="70"/>
    </row>
    <row r="76" spans="5:9">
      <c r="E76" s="70"/>
      <c r="F76" s="70"/>
      <c r="G76" s="70"/>
      <c r="H76" s="70"/>
      <c r="I76" s="70"/>
    </row>
    <row r="78" spans="5:9">
      <c r="G78" s="70"/>
    </row>
    <row r="79" spans="5:9">
      <c r="E79" s="70"/>
      <c r="F79" s="70"/>
      <c r="G79" s="70"/>
      <c r="H79" s="70"/>
      <c r="I79" s="70"/>
    </row>
  </sheetData>
  <mergeCells count="10">
    <mergeCell ref="C25:D25"/>
    <mergeCell ref="A1:A9"/>
    <mergeCell ref="C1:K1"/>
    <mergeCell ref="C2:K2"/>
    <mergeCell ref="J24:K24"/>
    <mergeCell ref="C3:C4"/>
    <mergeCell ref="D3:D4"/>
    <mergeCell ref="J3:J4"/>
    <mergeCell ref="K3:K4"/>
    <mergeCell ref="C24:D24"/>
  </mergeCells>
  <phoneticPr fontId="2" type="noConversion"/>
  <printOptions horizontalCentered="1" verticalCentered="1"/>
  <pageMargins left="0.15748031496063" right="0.23622047244094499" top="0.36" bottom="0.31" header="0.196850393700787" footer="0.196850393700787"/>
  <pageSetup paperSize="9" scale="84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19</vt:i4>
      </vt:variant>
    </vt:vector>
  </HeadingPairs>
  <TitlesOfParts>
    <vt:vector size="36" baseType="lpstr">
      <vt:lpstr>فهرست </vt:lpstr>
      <vt:lpstr>جدول 1 </vt:lpstr>
      <vt:lpstr>جدول  2 </vt:lpstr>
      <vt:lpstr>جدول 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'9'!OLE_LINK2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'جدول  2 '!Print_Area</vt:lpstr>
      <vt:lpstr>'جدول 1 '!Print_Area</vt:lpstr>
      <vt:lpstr>'جدول 3'!Print_Area</vt:lpstr>
      <vt:lpstr>'فهرست '!Print_Area</vt:lpstr>
      <vt:lpstr>'فهرست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Haidar Khaled</cp:lastModifiedBy>
  <cp:lastPrinted>2019-12-24T08:45:54Z</cp:lastPrinted>
  <dcterms:created xsi:type="dcterms:W3CDTF">2006-10-17T08:39:25Z</dcterms:created>
  <dcterms:modified xsi:type="dcterms:W3CDTF">2019-12-24T08:49:46Z</dcterms:modified>
</cp:coreProperties>
</file>